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9320" windowHeight="8835" tabRatio="386" activeTab="7"/>
  </bookViews>
  <sheets>
    <sheet name="10CH" sheetId="1" r:id="rId1"/>
    <sheet name="01CH" sheetId="2" r:id="rId2"/>
    <sheet name="02CH" sheetId="3" r:id="rId3"/>
    <sheet name="03CH" sheetId="4" r:id="rId4"/>
    <sheet name="04CH" sheetId="5" r:id="rId5"/>
    <sheet name="05CH" sheetId="6" r:id="rId6"/>
    <sheet name="08CH" sheetId="7" r:id="rId7"/>
    <sheet name="12CH" sheetId="8" r:id="rId8"/>
    <sheet name="Thu chi" sheetId="9" r:id="rId9"/>
    <sheet name="Bieu SS" sheetId="10" r:id="rId10"/>
    <sheet name="Sheet1" sheetId="11" r:id="rId11"/>
  </sheets>
  <definedNames>
    <definedName name="_xlnm.Print_Titles" localSheetId="0">'10CH'!$3:$4</definedName>
  </definedNames>
  <calcPr fullCalcOnLoad="1"/>
</workbook>
</file>

<file path=xl/sharedStrings.xml><?xml version="1.0" encoding="utf-8"?>
<sst xmlns="http://schemas.openxmlformats.org/spreadsheetml/2006/main" count="1003" uniqueCount="336">
  <si>
    <t>Thứ
 tự</t>
  </si>
  <si>
    <t>Diện tích tăng thêm</t>
  </si>
  <si>
    <t>Diện tích công trình</t>
  </si>
  <si>
    <t>Văn bản chủ 
trương đầu tư</t>
  </si>
  <si>
    <t>Nguồn vốn 
đầu tư</t>
  </si>
  <si>
    <t>Vị trí trên bản đồ 
địa chính (số tờ, số thửa)</t>
  </si>
  <si>
    <t>LUC</t>
  </si>
  <si>
    <t>HNK</t>
  </si>
  <si>
    <t>CLN</t>
  </si>
  <si>
    <t>RSX</t>
  </si>
  <si>
    <t>NKH</t>
  </si>
  <si>
    <t>SKN</t>
  </si>
  <si>
    <t>TMD</t>
  </si>
  <si>
    <t>DGT</t>
  </si>
  <si>
    <t>DNL</t>
  </si>
  <si>
    <t>DTT</t>
  </si>
  <si>
    <t>DRA</t>
  </si>
  <si>
    <t>ONT</t>
  </si>
  <si>
    <t>TSC</t>
  </si>
  <si>
    <t>NTD</t>
  </si>
  <si>
    <t>SKX</t>
  </si>
  <si>
    <t>DSH</t>
  </si>
  <si>
    <t>SON</t>
  </si>
  <si>
    <t>DCS</t>
  </si>
  <si>
    <t>Đất cụm công nghiệp</t>
  </si>
  <si>
    <t>Đất xây dựng cụm công nghiệp- Tiểu thủ công nghiệp</t>
  </si>
  <si>
    <t>Kim Tân</t>
  </si>
  <si>
    <t>Đất giao thông</t>
  </si>
  <si>
    <t/>
  </si>
  <si>
    <t>Chư Mố</t>
  </si>
  <si>
    <t>Ia KDăm</t>
  </si>
  <si>
    <t xml:space="preserve">Đường giao thông: Đường trần Hưng Đạo liên xã từ Ia Mrơn đi xã Kim Tân </t>
  </si>
  <si>
    <t>Ia Mrơn</t>
  </si>
  <si>
    <t>Ia Tul</t>
  </si>
  <si>
    <t>Pờ Tó</t>
  </si>
  <si>
    <t xml:space="preserve">Đất công trình năng lượng </t>
  </si>
  <si>
    <t>Ia Trok</t>
  </si>
  <si>
    <t>Đất bãi thải, xử lý chất thải</t>
  </si>
  <si>
    <t>Đất làm nghĩa trang, nghĩa địa, nhà tang lễ, nhà hỏa táng</t>
  </si>
  <si>
    <t>Xây dựng nghĩa trang huyện</t>
  </si>
  <si>
    <t>Đất xây dựng nghĩa địa tại xã Ia Trốk</t>
  </si>
  <si>
    <t>Đất sinh hoạt cộng đồng</t>
  </si>
  <si>
    <t>Đất rừng sản xuất</t>
  </si>
  <si>
    <t>Kế hoạch trồng rừng sản xuất</t>
  </si>
  <si>
    <t>Công ty TNHH Nông Lâm sản Phúc Phong Gia Lai</t>
  </si>
  <si>
    <t>Đất nông nghiệp khác</t>
  </si>
  <si>
    <t>Đất thương mại, dịch vụ</t>
  </si>
  <si>
    <t>Quy hoạch đất du lịch</t>
  </si>
  <si>
    <t>CV 1476/UBND-VP VV xin góp ý đối với nhiệm vụ quy hoạch chung xây dựng trung tâm huyện IaPa đến năm 2035 và đầu tư phát triển khu du lịch tại núi Chư Mố</t>
  </si>
  <si>
    <t>Khu du lich làng BLôm</t>
  </si>
  <si>
    <t>Khu du lịch thác Voi</t>
  </si>
  <si>
    <t>Đất du lịch khu vực suối Tul</t>
  </si>
  <si>
    <t>Đất ở tại nông thôn</t>
  </si>
  <si>
    <t>Đấu giá đất ở tại trung tâm huyện</t>
  </si>
  <si>
    <t>Đất sản xuất vật liệu xây dựng, làm đồ gốm</t>
  </si>
  <si>
    <t>Khai thác cát xây dựng</t>
  </si>
  <si>
    <t>Khai thác đất cấp phối</t>
  </si>
  <si>
    <t>Ghi chú</t>
  </si>
  <si>
    <t>Địa điểm</t>
  </si>
  <si>
    <t>Giáp xã Yeng huyện Phú Thiện; Kim Tân</t>
  </si>
  <si>
    <t>khoảnh 2,3,4,5 tiểu khu 1227, khoảnh 1,2 tiểu khu 1228; Ia Tul</t>
  </si>
  <si>
    <t>I</t>
  </si>
  <si>
    <t xml:space="preserve">Danh mục công trình thu hồi đất phải thông qua HĐND tỉnh quy định tại khoản 3 Điều 62, Luật Đất đai: Được ghi vốn thực hiện trong năm kế hoạch đối với các dự án thực hiện bằng nguồn vốn ngân sách nhà nước; có văn bản chấp thuận chủ trương đầu tư của cơ quan nhà nước có thẩm quyền </t>
  </si>
  <si>
    <t>II</t>
  </si>
  <si>
    <t>Danh mục công trình, dự án thu hồi đất (thuộc thẩm quyền của UBND tỉnh, không có trong NQ HĐND tỉnh) bao gồm: Danh mục công trình, dự án quy định tại Điều 61 và khoản 1,2 Điều 62 Luật Đất đai.</t>
  </si>
  <si>
    <t>III</t>
  </si>
  <si>
    <t xml:space="preserve">Khu vực cần chuyển mục đích sử dụng đất để thực hiện việc nhận chuyển nhượng, thuê quyền sử dụng đất, nhận góp vốn bằng quyền sử dụng đất </t>
  </si>
  <si>
    <t>Dự án được UBND tỉnh phê duyệt kêu gọi đầu tư vào huyện Ia Pa giai đoạn 2016-2018 tại quyết định số 766/QĐ-UBND</t>
  </si>
  <si>
    <t>Đầu tư kết cấu hạ tầng</t>
  </si>
  <si>
    <t xml:space="preserve"> Ia Mrơn </t>
  </si>
  <si>
    <t xml:space="preserve">Ia Broắi </t>
  </si>
  <si>
    <t>Nhà máy rác thải</t>
  </si>
  <si>
    <t xml:space="preserve"> Ia Kdăm </t>
  </si>
  <si>
    <t>Dự án trồng rau an toàn, hoa chất lượng cao</t>
  </si>
  <si>
    <t xml:space="preserve">Dự án trồng rừng </t>
  </si>
  <si>
    <t>Toàn huyện</t>
  </si>
  <si>
    <t>Dự án điện năng lượng mặt trời</t>
  </si>
  <si>
    <t>DANH MỤC HUYỆN XÁC ĐỊNH</t>
  </si>
  <si>
    <t>Kim Tân; Ia Mrơn</t>
  </si>
  <si>
    <t>Toàn huyện</t>
  </si>
  <si>
    <t>Biểu 10/CH</t>
  </si>
  <si>
    <t>Đơn vị tính: ha</t>
  </si>
  <si>
    <t>Biểu 01/CH</t>
  </si>
  <si>
    <t>TT</t>
  </si>
  <si>
    <t>Chỉ tiêu sử dụng đất</t>
  </si>
  <si>
    <t>Mã</t>
  </si>
  <si>
    <t>Tổng diện tích</t>
  </si>
  <si>
    <t>Phân theo đơn vị hành chính cấp xã</t>
  </si>
  <si>
    <t>Chư Răng</t>
  </si>
  <si>
    <t>Ia Broăi</t>
  </si>
  <si>
    <t>(1)</t>
  </si>
  <si>
    <t>(2)</t>
  </si>
  <si>
    <t>(3)</t>
  </si>
  <si>
    <t>(4)=(5)+..(13)</t>
  </si>
  <si>
    <t>(5)</t>
  </si>
  <si>
    <t>(6)</t>
  </si>
  <si>
    <t>(7)</t>
  </si>
  <si>
    <t>(8)</t>
  </si>
  <si>
    <t>(9)</t>
  </si>
  <si>
    <t>(10)</t>
  </si>
  <si>
    <t>(11)</t>
  </si>
  <si>
    <t>(12)</t>
  </si>
  <si>
    <t>(13)</t>
  </si>
  <si>
    <t>Đất nông nghiệp</t>
  </si>
  <si>
    <t>NNP</t>
  </si>
  <si>
    <t>1.1</t>
  </si>
  <si>
    <t>Đất trồng lúa</t>
  </si>
  <si>
    <t>LUA</t>
  </si>
  <si>
    <t xml:space="preserve">     Đất chuyên trồng lúa nước</t>
  </si>
  <si>
    <t>1.2</t>
  </si>
  <si>
    <t>Đất trồng cây hàng năm khác</t>
  </si>
  <si>
    <t>1.3</t>
  </si>
  <si>
    <t>Đất trồng cây lâu năm</t>
  </si>
  <si>
    <t>1.4</t>
  </si>
  <si>
    <t>Đất rừng phòng hộ</t>
  </si>
  <si>
    <t>RPH</t>
  </si>
  <si>
    <t>1.5</t>
  </si>
  <si>
    <t>1.6</t>
  </si>
  <si>
    <t>1.7</t>
  </si>
  <si>
    <t>Đất nuôi trồng thủy sản</t>
  </si>
  <si>
    <t>NTS</t>
  </si>
  <si>
    <t>Đất phi nông nghiệp</t>
  </si>
  <si>
    <t>PNN</t>
  </si>
  <si>
    <t>2.1</t>
  </si>
  <si>
    <t>Đất quốc phòng</t>
  </si>
  <si>
    <t>CQP</t>
  </si>
  <si>
    <t>2.2</t>
  </si>
  <si>
    <t>Đất an ninh</t>
  </si>
  <si>
    <t>CAN</t>
  </si>
  <si>
    <t>2.3</t>
  </si>
  <si>
    <t>2.4</t>
  </si>
  <si>
    <t>2.5</t>
  </si>
  <si>
    <t>2.6</t>
  </si>
  <si>
    <t>2.7</t>
  </si>
  <si>
    <t>Đất cơ sở sản xuất phi nông nghiệp</t>
  </si>
  <si>
    <t>SKC</t>
  </si>
  <si>
    <t>2.8</t>
  </si>
  <si>
    <t>Đất sử dụng cho hoạt động khoáng sản</t>
  </si>
  <si>
    <t>SKS</t>
  </si>
  <si>
    <t>2.9</t>
  </si>
  <si>
    <t>Đất phát triển hạ tầng cấp quốc gia, cấp tỉnh, cấp huyện, cấp xã</t>
  </si>
  <si>
    <t>DHT</t>
  </si>
  <si>
    <t>2.10</t>
  </si>
  <si>
    <t>2.11</t>
  </si>
  <si>
    <t>2.12</t>
  </si>
  <si>
    <t>2.13</t>
  </si>
  <si>
    <t>2.14</t>
  </si>
  <si>
    <t>2.15</t>
  </si>
  <si>
    <t>Đất xây dựng trụ sở cơ quan</t>
  </si>
  <si>
    <t>2.16</t>
  </si>
  <si>
    <t>Đất xây dựng trụ sở của tổ chức sự nghiệp</t>
  </si>
  <si>
    <t>DTS</t>
  </si>
  <si>
    <t>2.17</t>
  </si>
  <si>
    <t>Đất cơ sở tôn giáo</t>
  </si>
  <si>
    <t>TON</t>
  </si>
  <si>
    <t>Đất sông, ngòi, kênh, rạch, suối</t>
  </si>
  <si>
    <t>Đất có mặt nước chuyên dùng</t>
  </si>
  <si>
    <t>MNC</t>
  </si>
  <si>
    <t>Đất chưa sử dụng</t>
  </si>
  <si>
    <t>CSD</t>
  </si>
  <si>
    <t>Biểu 02/CH</t>
  </si>
  <si>
    <t>Kết quả thực hiện</t>
  </si>
  <si>
    <t>Diện tích
(ha)</t>
  </si>
  <si>
    <t>So sánh</t>
  </si>
  <si>
    <t>Tăng (+), 
Giảm (-)</t>
  </si>
  <si>
    <t>Tỷ lệ (%)</t>
  </si>
  <si>
    <t>(4)</t>
  </si>
  <si>
    <t>(6) = (5)-(4)</t>
  </si>
  <si>
    <t>(7)=(5)/(4)*100</t>
  </si>
  <si>
    <t>TỔNG</t>
  </si>
  <si>
    <t>Biểu 03/CH</t>
  </si>
  <si>
    <t>Biểu 04/CH</t>
  </si>
  <si>
    <t>DIỆN TÍCH CHUYỂN MỤC ĐÍCH SỬ DỤNG ĐẤT TRONG KỲ KẾ HOẠCH CỦA HUYỆN IAPA</t>
  </si>
  <si>
    <t>Biểu 05/CH</t>
  </si>
  <si>
    <t>DIỆN TÍCH ĐẤT CHƯA SỬ DỤNG VÀO SỬ DỤNG TRONG KỲ KẾ HOẠCH CỦA HUYỆN IAPA</t>
  </si>
  <si>
    <t>Biểu 08/CH</t>
  </si>
  <si>
    <t>Biểu 12/CH</t>
  </si>
  <si>
    <t>STT</t>
  </si>
  <si>
    <t>Hạng mục công trình</t>
  </si>
  <si>
    <r>
      <t xml:space="preserve">Đơn giá
</t>
    </r>
    <r>
      <rPr>
        <sz val="9"/>
        <rFont val="Times New Roman"/>
        <family val="1"/>
      </rPr>
      <t>(đồng/m</t>
    </r>
    <r>
      <rPr>
        <vertAlign val="superscript"/>
        <sz val="9"/>
        <rFont val="Times New Roman"/>
        <family val="1"/>
      </rPr>
      <t>2</t>
    </r>
    <r>
      <rPr>
        <sz val="9"/>
        <rFont val="Times New Roman"/>
        <family val="1"/>
      </rPr>
      <t>)</t>
    </r>
  </si>
  <si>
    <t>Ghi chú</t>
  </si>
  <si>
    <r>
      <t>Diện tích 
(m</t>
    </r>
    <r>
      <rPr>
        <vertAlign val="superscript"/>
        <sz val="9"/>
        <rFont val="Times New Roman"/>
        <family val="1"/>
      </rPr>
      <t>2</t>
    </r>
    <r>
      <rPr>
        <sz val="9"/>
        <rFont val="Times New Roman"/>
        <family val="1"/>
      </rPr>
      <t>)</t>
    </r>
  </si>
  <si>
    <t>Thành tiền
(đồng)</t>
  </si>
  <si>
    <t>(5)=(3)*(4)</t>
  </si>
  <si>
    <t>A</t>
  </si>
  <si>
    <t>CÁC KHOẢN THU TỪ ĐẤT</t>
  </si>
  <si>
    <t>I. THU TIỀN GIAO ĐẤT</t>
  </si>
  <si>
    <t>Đất ở nông thôn</t>
  </si>
  <si>
    <t>THU TIỀN CHO THUÊ ĐẤT</t>
  </si>
  <si>
    <t>Thu tiền thuê đất các công trình đất cụm công nghiệp</t>
  </si>
  <si>
    <t>B</t>
  </si>
  <si>
    <t>CHI PHÍ BỒI THƯỜNG; HỖ TRỢ ĐÀO TẠO, 
CHUYỂN ĐỔI NGHỀ, TÌM KIẾM VIỆC LÀM</t>
  </si>
  <si>
    <t xml:space="preserve">Đất trồng lúa </t>
  </si>
  <si>
    <t>C</t>
  </si>
  <si>
    <t>CÂN ĐỐI THU - CHI</t>
  </si>
  <si>
    <t xml:space="preserve">Đất nông nghiệp chuyển sang phi nông nghiệp </t>
  </si>
  <si>
    <t>NNP/PNN</t>
  </si>
  <si>
    <t>LUA/PNN</t>
  </si>
  <si>
    <t>LUC/PNN</t>
  </si>
  <si>
    <t>HNK/PNN</t>
  </si>
  <si>
    <t>CLN/PNN</t>
  </si>
  <si>
    <t>RSX/PNN</t>
  </si>
  <si>
    <t>Chuyển đổi cơ cấu sử dụng đất trong nội bộ đất nông nghiệp</t>
  </si>
  <si>
    <t>Đất phi nông nghiệp không phải là đất ở chuyển sang đất ở</t>
  </si>
  <si>
    <t>PKO/OCT</t>
  </si>
  <si>
    <t>Thứ tự</t>
  </si>
  <si>
    <t>Chỉ tiêu</t>
  </si>
  <si>
    <t>Cộng 
giảm</t>
  </si>
  <si>
    <t>TỔNG DIỆN TÍCH TỰ NHIÊN</t>
  </si>
  <si>
    <t>1</t>
  </si>
  <si>
    <t xml:space="preserve">     Đất chuyên trồng lúa nước </t>
  </si>
  <si>
    <t>2</t>
  </si>
  <si>
    <t xml:space="preserve">Đất làm nghĩa trang, nghĩa địa, nhà tang lễ, nhà hoả táng </t>
  </si>
  <si>
    <t>3</t>
  </si>
  <si>
    <t>ĐẤT CHƯA SỬ DỤNG</t>
  </si>
  <si>
    <t>Cộng tăng</t>
  </si>
  <si>
    <t>Dự án đất phục vụ cho mục đích quốc phòng, quân sự huyện</t>
  </si>
  <si>
    <t>Đất quốc phòng</t>
  </si>
  <si>
    <t>Pờ Tó; Kim Tân</t>
  </si>
  <si>
    <t>Sử dụng vào loại đất</t>
  </si>
  <si>
    <t>Các xã của huyện</t>
  </si>
  <si>
    <t>Chuyển từ 2018 sang</t>
  </si>
  <si>
    <t xml:space="preserve">Đường giao thông: Đường Võ Thị Sáu liên xã từ Ia Mrơn đi xã Kim Tân </t>
  </si>
  <si>
    <t>Đường giao thông: Đường Lê Lợi</t>
  </si>
  <si>
    <t>Đường giao thông: Đường Trường Chinh</t>
  </si>
  <si>
    <t>Đường giao thông đến kênh trạm bơm số 01</t>
  </si>
  <si>
    <t>Đường  giao thông nội đồng trạm bơm điện số 02</t>
  </si>
  <si>
    <t>Xây dựng nhà văn hóa cộng đồng Bôn Broắi</t>
  </si>
  <si>
    <t>Xây dựng nhà văn hóa của xã Pờ Tó</t>
  </si>
  <si>
    <t>Xây dựng Nhà sinh hoạt cộng đồng thôn Đắk Chắ</t>
  </si>
  <si>
    <t>Ia Broắi</t>
  </si>
  <si>
    <t>Thôn Đkun Pờ Tó</t>
  </si>
  <si>
    <t>Đất tôn giáo</t>
  </si>
  <si>
    <t>Đất xây dựng sân bóng đá xã Pờ Tó</t>
  </si>
  <si>
    <t xml:space="preserve">Dự án sắp xếp khu dân cư, xây dựng  thôn, làng kiểu mẫu NTM </t>
  </si>
  <si>
    <t xml:space="preserve"> Buôn Biah A Xã Ia Tul</t>
  </si>
  <si>
    <t>Chùa Minh Trí</t>
  </si>
  <si>
    <t>2.18</t>
  </si>
  <si>
    <t>2.19</t>
  </si>
  <si>
    <t>2.20</t>
  </si>
  <si>
    <t>2.21</t>
  </si>
  <si>
    <t>2.24</t>
  </si>
  <si>
    <t>2.25</t>
  </si>
  <si>
    <t>Diện tích kế hoạch 2018 được duyệt (ha)</t>
  </si>
  <si>
    <t>NTS/PNN</t>
  </si>
  <si>
    <t>KẾ HOẠCH SỬ DỤNG ĐẤT ĐẾN NĂM 2019 CỦA HUYỆN IAPA</t>
  </si>
  <si>
    <t>KẾT QUẢ THỰC HIỆN KẾ HOACH SỬ DỤNG ĐẤT NĂM 2018 CỦA HUYỆN IAPA</t>
  </si>
  <si>
    <t>HIỆN TRẠNG SỬ DỤNG ĐẤT NĂM 2018 CỦA HUYỆN IAPA</t>
  </si>
  <si>
    <t>Diện tích 
hiện trạng 
năm 2018</t>
  </si>
  <si>
    <t>Diện tích
cuối kỳ 
năm 2019</t>
  </si>
  <si>
    <t>Diện tích cuối kỳ, năm 2019</t>
  </si>
  <si>
    <t>Hệ số</t>
  </si>
  <si>
    <t>Trong khu dân cư thôn làng trong xã Pờ Tó</t>
  </si>
  <si>
    <t>Khu dân cư trong xã các thôn trong xã Chư Răng</t>
  </si>
  <si>
    <t>Khu dân cư trong xã các thôn trong xã</t>
  </si>
  <si>
    <t>Khu dân cư trong xã các thôn trong xã, Khu vực hai bên đường đầu cầu Kdăm đi xã Ia Kdăm</t>
  </si>
  <si>
    <t>Khu dân cư trong xã các thôn trong xã, khu vực đối diện hạt chín thuộc tờ bản đồ số 24</t>
  </si>
  <si>
    <t>Chuyển đổi mục đích từ đất nông nghiệp sang đất phi NN (sản xuất kinh doanh) tại xã Ia Tul</t>
  </si>
  <si>
    <t>Ia Trốk</t>
  </si>
  <si>
    <t>Ia Kdăm</t>
  </si>
  <si>
    <t>LUK</t>
  </si>
  <si>
    <t>Trồng khôi phục lại rừng sản xuất</t>
  </si>
  <si>
    <t>Chuyển đổi mục đích từ đất nông nghiệp sang đất phi NN (sản xuất kinh doanh) tại xã Chư Mố</t>
  </si>
  <si>
    <t>Chuyển đổi mục đích từ đất nông nghiệp sang đất phi NN (sản xuất kinh doanh) tại xã Ia Trốk</t>
  </si>
  <si>
    <t>Đất ở tại đô thị</t>
  </si>
  <si>
    <t>ODT</t>
  </si>
  <si>
    <t>Đất bằng chưa sử dụng</t>
  </si>
  <si>
    <t xml:space="preserve">Đất chưa sử dụng chuyển sang phi nông nghiệp </t>
  </si>
  <si>
    <t>CSD/PNN</t>
  </si>
  <si>
    <t>Đất phát triển cở sở hạ tầng</t>
  </si>
  <si>
    <t>Diện tích hiện trạng 2018 (ha)</t>
  </si>
  <si>
    <t>Diện tích kế hoạch 2019 (ha)</t>
  </si>
  <si>
    <t>Ia Broắi, Ia Tul</t>
  </si>
  <si>
    <t>Dự án đất bờ kè chống sạt lỡ Sông Ba</t>
  </si>
  <si>
    <t>KH năm 2019</t>
  </si>
  <si>
    <t xml:space="preserve">So sánh </t>
  </si>
  <si>
    <t>Tăng (+),</t>
  </si>
  <si>
    <t>Giảm (-) (ha)</t>
  </si>
  <si>
    <t>152.7</t>
  </si>
  <si>
    <t>Đất phát triển hạ tầng cấp tỉnh, cấp huyện, cấp xã</t>
  </si>
  <si>
    <t>Tổng diện tích dự án kê gọi đầu tư</t>
  </si>
  <si>
    <t>Đấtnông nghiệp khác</t>
  </si>
  <si>
    <t xml:space="preserve"> </t>
  </si>
  <si>
    <t xml:space="preserve">    </t>
  </si>
  <si>
    <t>Đất phát triển hạ tầng cấp cấp tỉnh, cấp huyện, cấp xã</t>
  </si>
  <si>
    <t>Đất rừng trồng</t>
  </si>
  <si>
    <t>Đất rừng sản xuất (rừng trồng)</t>
  </si>
  <si>
    <t>Danh mục dự án, công trình thực hiện trong năm 2019</t>
  </si>
  <si>
    <t>Thôn Mơ Nang 2 xã Kim Tân</t>
  </si>
  <si>
    <t>Xã Ia Trốk</t>
  </si>
  <si>
    <t>Đất khoáng sản, đất sản xuất vật liệu xây dựng, đất san lấp mặt bằng</t>
  </si>
  <si>
    <t>Chu Mố</t>
  </si>
  <si>
    <t>Đất ở tại nông thôn (chuyển đổi mục đích sử dụng đất sang đất ở)</t>
  </si>
  <si>
    <t>Nghị quyết số 139/NQ-HĐND ngày 6/12/2018</t>
  </si>
  <si>
    <t>Dự án xây dựng cầu dân sinh (03 xã Pờ Tó, Chư Răng và xã Ia Mrơn của huyện) - thuộc dự án LRAMP</t>
  </si>
  <si>
    <t xml:space="preserve">Pờ Tó, Chư Răng và xã Ia Mrơn </t>
  </si>
  <si>
    <t>Danh mục chuyển từ 2018 sang 2019</t>
  </si>
  <si>
    <t xml:space="preserve">LOẠI ĐẤT </t>
  </si>
  <si>
    <t xml:space="preserve">Khai thác cát xây dựng </t>
  </si>
  <si>
    <t>Cải tạo và phát triển lưới điện trung hạ áp khu vực trung tâm huyện lỵ thành phố tỉnh Gia Lai( (Kfw3.1)</t>
  </si>
  <si>
    <t>Thu tiền thuê đất các công trình và bến bãi đất sản xuất vật liệu xây dựng</t>
  </si>
  <si>
    <t>Hbel ; Ia KDăm</t>
  </si>
  <si>
    <t>KẾ HOẠCH THU HỒI ĐẤT NĂM 2019 CỦA HUYỆN IA PA</t>
  </si>
  <si>
    <t>CHU CHUYỂN ĐẤT ĐAI TRONG KẾ HOẠCH SỬ DỤNG ĐẤT 2019 CỦA HUYỆN IAPA</t>
  </si>
  <si>
    <t>Xã Pờ Tó</t>
  </si>
  <si>
    <t xml:space="preserve">Xã Chư Răng </t>
  </si>
  <si>
    <t>Xã Ia Tul</t>
  </si>
  <si>
    <t>Xã Kim Tân</t>
  </si>
  <si>
    <t>Xã Ia Kdăm</t>
  </si>
  <si>
    <t>Xã Chư Mố</t>
  </si>
  <si>
    <t>Xã Pờ Tó ( giao đất cho đồng bào dân tộc Làng Bi Dông)</t>
  </si>
  <si>
    <t>Xã Ia Trốk ( bổ sung giao đất sản xuất nông nghiệp khu Tổ hợp Định Thành)</t>
  </si>
  <si>
    <t>Thu hồi đất giải quyết đơn thư xã Ia Mrơn</t>
  </si>
  <si>
    <t>Diện tích thu hồi, giao đất cho hộ gia đình cá nhân trên địa bàn huyện</t>
  </si>
  <si>
    <t>IV</t>
  </si>
  <si>
    <t>Thu hồi diện tích đất lâm nghiệp đã đưa ra khỏi quy hoạch 3 loại rừng trên địa bàn huyện theo Nghị quyết 100 ,giao về cho huyện quản lý,  đo đạc xem xét cấp giấy CNQSD đất (theo Công văn số 446/STNMT-QHĐĐ ngày 20/2/2019)</t>
  </si>
  <si>
    <t>Đất xây dựng Trụ sở làm việc Công an các xã (9 xã)</t>
  </si>
  <si>
    <t>Công ty My Anh (chăn nuôi công nghệ cao)</t>
  </si>
  <si>
    <t>Giáo xứ Phú Tâm</t>
  </si>
  <si>
    <t>Đấu giá, cho thuê đất thương mại, dịch vụ, kinh doanh phi nông nghiệp</t>
  </si>
  <si>
    <t>Xây dựng Nhà sinh hoạt cộng đồng thôn Bah Leng</t>
  </si>
  <si>
    <t>Thôn Bi Da, xã Pờ Tó</t>
  </si>
  <si>
    <t>Bôn Jứ, xã Ia Broắi</t>
  </si>
  <si>
    <t>Đường Hùng Vương</t>
  </si>
  <si>
    <t>Quyết định số 546/QĐ-UBND 
ngày 31/10/2018 của UBND huyện</t>
  </si>
  <si>
    <t>Ia Trốk, Ia Tul, 
Ia Broắi</t>
  </si>
  <si>
    <t>Nhà máy sản xuất vật liệu xây dựng không nung, gạch bê tông bọt</t>
  </si>
  <si>
    <t>Nghị quyết số 139/NQ-HĐND ngày 6/12/2018 của HĐND tỉnh</t>
  </si>
  <si>
    <t>Nghị quyết số 102/NQ-HĐND ngày 8/12/2017 của HĐND tỉnh</t>
  </si>
  <si>
    <t>Khu dân cư trong xã các thôn trong xã, khu đối diện UBND xã, Khu vực hai bên đường đầu cầu Kdăm đi xã Ia Mrơn</t>
  </si>
  <si>
    <t>Khu dân cư trong xã các thôn trong xã; Hai bên từ cây xăng ông Nghiêm đến đầu cầu</t>
  </si>
  <si>
    <t>3.1</t>
  </si>
  <si>
    <t>Thuộc thôn Blôm, Xã Kim Tân</t>
  </si>
  <si>
    <t>Đấu giá cho thuê đất xây dựng nhà hàng, khu vui chơi, xã, huyện 
(khu trung tâm thương mại huyện Ia Pa)</t>
  </si>
  <si>
    <t>giảm</t>
  </si>
  <si>
    <t>ht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</si>
</sst>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quot;Yes&quot;;&quot;Yes&quot;;&quot;No&quot;"/>
    <numFmt numFmtId="174" formatCode="&quot;True&quot;;&quot;True&quot;;&quot;False&quot;"/>
    <numFmt numFmtId="175" formatCode="&quot;On&quot;;&quot;On&quot;;&quot;Off&quot;"/>
    <numFmt numFmtId="176" formatCode="[$€-2]\ #,##0.00_);[Red]\([$€-2]\ #,##0.00\)"/>
    <numFmt numFmtId="177" formatCode="#,##0.00000000000"/>
    <numFmt numFmtId="178" formatCode="#,##0.0000000000"/>
    <numFmt numFmtId="179" formatCode="0.0"/>
    <numFmt numFmtId="180" formatCode="#,##0.0"/>
    <numFmt numFmtId="181" formatCode="0.00000000"/>
    <numFmt numFmtId="182" formatCode="0.0000000"/>
    <numFmt numFmtId="183" formatCode="0.000000"/>
    <numFmt numFmtId="184" formatCode="0.00000"/>
    <numFmt numFmtId="185" formatCode="0.0000"/>
    <numFmt numFmtId="186" formatCode="0.000"/>
    <numFmt numFmtId="187" formatCode="#,##0.000"/>
  </numFmts>
  <fonts count="74">
    <font>
      <sz val="11"/>
      <color theme="1"/>
      <name val="Calibri"/>
      <family val="2"/>
    </font>
    <font>
      <sz val="11"/>
      <color indexed="8"/>
      <name val="Calibri"/>
      <family val="2"/>
    </font>
    <font>
      <sz val="12"/>
      <name val=".VnArial"/>
      <family val="2"/>
    </font>
    <font>
      <sz val="14"/>
      <name val=".VnTime"/>
      <family val="2"/>
    </font>
    <font>
      <sz val="10"/>
      <name val="Arial"/>
      <family val="2"/>
    </font>
    <font>
      <b/>
      <sz val="10"/>
      <name val="Times New Roman"/>
      <family val="1"/>
    </font>
    <font>
      <i/>
      <sz val="10"/>
      <name val="Times New Roman"/>
      <family val="1"/>
    </font>
    <font>
      <sz val="10"/>
      <name val="Times New Roman"/>
      <family val="1"/>
    </font>
    <font>
      <b/>
      <sz val="7"/>
      <name val="Times New Roman"/>
      <family val="1"/>
    </font>
    <font>
      <i/>
      <sz val="7"/>
      <name val="Times New Roman"/>
      <family val="1"/>
    </font>
    <font>
      <sz val="7"/>
      <name val="Times New Roman"/>
      <family val="1"/>
    </font>
    <font>
      <b/>
      <sz val="12"/>
      <name val="Times New Roman"/>
      <family val="1"/>
    </font>
    <font>
      <i/>
      <sz val="6"/>
      <name val="Times New Roman"/>
      <family val="1"/>
    </font>
    <font>
      <sz val="12"/>
      <name val="Times New Roman"/>
      <family val="1"/>
    </font>
    <font>
      <sz val="12"/>
      <name val=".VnTime"/>
      <family val="2"/>
    </font>
    <font>
      <b/>
      <sz val="9"/>
      <name val="Times New Roman"/>
      <family val="1"/>
    </font>
    <font>
      <sz val="9"/>
      <name val="Times New Roman"/>
      <family val="1"/>
    </font>
    <font>
      <vertAlign val="superscript"/>
      <sz val="9"/>
      <name val="Times New Roman"/>
      <family val="1"/>
    </font>
    <font>
      <b/>
      <sz val="11"/>
      <color indexed="8"/>
      <name val="Calibri"/>
      <family val="2"/>
    </font>
    <font>
      <b/>
      <sz val="10"/>
      <color indexed="8"/>
      <name val="Times New Roman"/>
      <family val="1"/>
    </font>
    <font>
      <sz val="10"/>
      <color indexed="8"/>
      <name val="Calibri"/>
      <family val="2"/>
    </font>
    <font>
      <sz val="10"/>
      <color indexed="8"/>
      <name val="Times New Roman"/>
      <family val="1"/>
    </font>
    <font>
      <sz val="11"/>
      <color indexed="8"/>
      <name val="Times New Roman"/>
      <family val="1"/>
    </font>
    <font>
      <b/>
      <sz val="10"/>
      <color indexed="8"/>
      <name val="Calibri"/>
      <family val="2"/>
    </font>
    <font>
      <b/>
      <sz val="10"/>
      <color indexed="10"/>
      <name val="Times New Roman"/>
      <family val="1"/>
    </font>
    <font>
      <sz val="8"/>
      <name val="Calibri"/>
      <family val="2"/>
    </font>
    <font>
      <b/>
      <sz val="11"/>
      <color indexed="8"/>
      <name val="Times New Roman"/>
      <family val="1"/>
    </font>
    <font>
      <i/>
      <sz val="11"/>
      <color indexed="8"/>
      <name val="Times New Roman"/>
      <family val="1"/>
    </font>
    <font>
      <sz val="10"/>
      <color indexed="10"/>
      <name val="Times New Roman"/>
      <family val="1"/>
    </font>
    <font>
      <b/>
      <sz val="13"/>
      <name val="Times New Roman"/>
      <family val="1"/>
    </font>
    <font>
      <i/>
      <sz val="13"/>
      <name val="Times New Roman"/>
      <family val="1"/>
    </font>
    <font>
      <sz val="10"/>
      <name val="Calibri"/>
      <family val="2"/>
    </font>
    <font>
      <b/>
      <sz val="10"/>
      <name val="Calibri"/>
      <family val="2"/>
    </font>
    <font>
      <sz val="11"/>
      <color indexed="10"/>
      <name val="Calibri"/>
      <family val="2"/>
    </font>
    <font>
      <sz val="10"/>
      <color indexed="10"/>
      <name val="Calibri"/>
      <family val="2"/>
    </font>
    <font>
      <sz val="11"/>
      <name val="Calibri"/>
      <family val="2"/>
    </font>
    <font>
      <b/>
      <sz val="11"/>
      <name val="Calibri"/>
      <family val="2"/>
    </font>
    <font>
      <sz val="11"/>
      <color indexed="11"/>
      <name val="Calibri"/>
      <family val="2"/>
    </font>
    <font>
      <sz val="9"/>
      <color indexed="8"/>
      <name val="Calibri"/>
      <family val="2"/>
    </font>
    <font>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hair"/>
    </border>
    <border>
      <left style="thin"/>
      <right style="thin"/>
      <top>
        <color indexed="63"/>
      </top>
      <bottom style="thin"/>
    </border>
    <border>
      <left style="medium"/>
      <right style="thin"/>
      <top style="thin"/>
      <bottom>
        <color indexed="63"/>
      </bottom>
    </border>
    <border>
      <left style="thin"/>
      <right style="thin"/>
      <top>
        <color indexed="63"/>
      </top>
      <bottom>
        <color indexed="63"/>
      </bottom>
    </border>
    <border>
      <left style="thin"/>
      <right style="thin"/>
      <top style="hair"/>
      <bottom>
        <color indexed="63"/>
      </bottom>
    </border>
    <border>
      <left style="medium"/>
      <right style="thin"/>
      <top style="thin"/>
      <bottom style="thin"/>
    </border>
    <border>
      <left style="thin"/>
      <right style="thin"/>
      <top style="hair"/>
      <bottom style="hair"/>
    </border>
    <border>
      <left style="medium"/>
      <right style="thin"/>
      <top>
        <color indexed="63"/>
      </top>
      <bottom style="thin"/>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color indexed="8"/>
      </bottom>
    </border>
    <border>
      <left style="medium"/>
      <right style="medium"/>
      <top>
        <color indexed="63"/>
      </top>
      <bottom style="medium"/>
    </border>
    <border>
      <left style="thin"/>
      <right style="thin"/>
      <top style="hair"/>
      <bottom style="thin"/>
    </border>
    <border>
      <left style="thin"/>
      <right style="thin"/>
      <top style="thin"/>
      <bottom style="hair"/>
    </border>
    <border>
      <left style="thin"/>
      <right>
        <color indexed="63"/>
      </right>
      <top style="hair"/>
      <bottom style="hair"/>
    </border>
    <border>
      <left style="hair"/>
      <right>
        <color indexed="63"/>
      </right>
      <top style="hair"/>
      <bottom style="hair"/>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color indexed="8"/>
      </bottom>
    </border>
    <border>
      <left style="medium"/>
      <right>
        <color indexed="63"/>
      </right>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8"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1" applyNumberFormat="0" applyAlignment="0" applyProtection="0"/>
    <xf numFmtId="0" fontId="68" fillId="0" borderId="6" applyNumberFormat="0" applyFill="0" applyAlignment="0" applyProtection="0"/>
    <xf numFmtId="0" fontId="69" fillId="30" borderId="0" applyNumberFormat="0" applyBorder="0" applyAlignment="0" applyProtection="0"/>
    <xf numFmtId="0" fontId="13" fillId="0" borderId="0">
      <alignment/>
      <protection/>
    </xf>
    <xf numFmtId="0" fontId="0" fillId="0" borderId="0">
      <alignment/>
      <protection/>
    </xf>
    <xf numFmtId="0" fontId="4" fillId="0" borderId="0">
      <alignment horizontal="right"/>
      <protection/>
    </xf>
    <xf numFmtId="0" fontId="4" fillId="0" borderId="0">
      <alignment/>
      <protection/>
    </xf>
    <xf numFmtId="0" fontId="4" fillId="0" borderId="0">
      <alignment/>
      <protection/>
    </xf>
    <xf numFmtId="0" fontId="2" fillId="0" borderId="0">
      <alignment/>
      <protection/>
    </xf>
    <xf numFmtId="0" fontId="3" fillId="0" borderId="0">
      <alignment/>
      <protection/>
    </xf>
    <xf numFmtId="0" fontId="3" fillId="0" borderId="0">
      <alignment/>
      <protection/>
    </xf>
    <xf numFmtId="0" fontId="14" fillId="0" borderId="0">
      <alignment/>
      <protection/>
    </xf>
    <xf numFmtId="0" fontId="4" fillId="0" borderId="0">
      <alignment/>
      <protection/>
    </xf>
    <xf numFmtId="0" fontId="1" fillId="31" borderId="7" applyNumberFormat="0" applyFont="0" applyAlignment="0" applyProtection="0"/>
    <xf numFmtId="0" fontId="70" fillId="26" borderId="8" applyNumberFormat="0" applyAlignment="0" applyProtection="0"/>
    <xf numFmtId="9" fontId="1"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12">
    <xf numFmtId="0" fontId="0" fillId="0" borderId="0" xfId="0" applyFont="1" applyAlignment="1">
      <alignment/>
    </xf>
    <xf numFmtId="0" fontId="5" fillId="0" borderId="10" xfId="62" applyFont="1" applyFill="1" applyBorder="1" applyAlignment="1">
      <alignment horizontal="center" vertical="center" wrapText="1"/>
      <protection/>
    </xf>
    <xf numFmtId="0" fontId="5" fillId="0" borderId="10" xfId="62" applyFont="1" applyFill="1" applyBorder="1" applyAlignment="1">
      <alignment horizontal="center" vertical="center"/>
      <protection/>
    </xf>
    <xf numFmtId="4" fontId="5" fillId="0" borderId="10" xfId="62" applyNumberFormat="1" applyFont="1" applyFill="1" applyBorder="1" applyAlignment="1">
      <alignment horizontal="right" vertical="center"/>
      <protection/>
    </xf>
    <xf numFmtId="4" fontId="5" fillId="0" borderId="10" xfId="62" applyNumberFormat="1" applyFont="1" applyFill="1" applyBorder="1" applyAlignment="1">
      <alignment vertical="center"/>
      <protection/>
    </xf>
    <xf numFmtId="0" fontId="5" fillId="0" borderId="10" xfId="62" applyNumberFormat="1" applyFont="1" applyFill="1" applyBorder="1" applyAlignment="1">
      <alignment horizontal="center" vertical="center" wrapText="1"/>
      <protection/>
    </xf>
    <xf numFmtId="4" fontId="5" fillId="0" borderId="10" xfId="63" applyNumberFormat="1" applyFont="1" applyFill="1" applyBorder="1" applyAlignment="1">
      <alignment horizontal="center" vertical="center" wrapText="1"/>
      <protection/>
    </xf>
    <xf numFmtId="0" fontId="5" fillId="0" borderId="10" xfId="58" applyFont="1" applyFill="1" applyBorder="1" applyAlignment="1">
      <alignment horizontal="center" vertical="center" wrapText="1"/>
      <protection/>
    </xf>
    <xf numFmtId="0" fontId="19" fillId="0" borderId="10" xfId="58" applyFont="1" applyBorder="1" applyAlignment="1">
      <alignment horizontal="center" vertical="center"/>
      <protection/>
    </xf>
    <xf numFmtId="0" fontId="7" fillId="0" borderId="10" xfId="58" applyFont="1" applyFill="1" applyBorder="1" applyAlignment="1">
      <alignment horizontal="center" vertical="center"/>
      <protection/>
    </xf>
    <xf numFmtId="0" fontId="5" fillId="0" borderId="10" xfId="58" applyFont="1" applyBorder="1" applyAlignment="1">
      <alignment horizontal="center" vertical="center" wrapText="1"/>
      <protection/>
    </xf>
    <xf numFmtId="0" fontId="19" fillId="0" borderId="10" xfId="58" applyFont="1" applyBorder="1" applyAlignment="1">
      <alignment horizontal="center" vertical="center" wrapText="1"/>
      <protection/>
    </xf>
    <xf numFmtId="4" fontId="7" fillId="0" borderId="10" xfId="62" applyNumberFormat="1" applyFont="1" applyFill="1" applyBorder="1" applyAlignment="1">
      <alignment horizontal="right" vertical="center"/>
      <protection/>
    </xf>
    <xf numFmtId="4" fontId="5" fillId="0" borderId="10" xfId="62" applyNumberFormat="1" applyFont="1" applyFill="1" applyBorder="1" applyAlignment="1">
      <alignment horizontal="center" vertical="center" wrapText="1"/>
      <protection/>
    </xf>
    <xf numFmtId="0" fontId="20" fillId="0" borderId="0" xfId="0" applyFont="1" applyAlignment="1">
      <alignment/>
    </xf>
    <xf numFmtId="0" fontId="5" fillId="0" borderId="10" xfId="60" applyFont="1" applyFill="1" applyBorder="1" applyAlignment="1">
      <alignment horizontal="center" vertical="center" wrapText="1"/>
      <protection/>
    </xf>
    <xf numFmtId="0" fontId="5" fillId="0" borderId="10" xfId="60" applyFont="1" applyFill="1" applyBorder="1" applyAlignment="1">
      <alignment horizontal="center" vertical="center"/>
      <protection/>
    </xf>
    <xf numFmtId="4" fontId="5" fillId="0" borderId="10" xfId="66" applyNumberFormat="1" applyFont="1" applyFill="1" applyBorder="1" applyAlignment="1">
      <alignment horizontal="center" vertical="center" wrapText="1"/>
      <protection/>
    </xf>
    <xf numFmtId="39" fontId="5" fillId="0" borderId="10" xfId="63" applyNumberFormat="1" applyFont="1" applyFill="1" applyBorder="1" applyAlignment="1">
      <alignment horizontal="left" vertical="center" wrapText="1"/>
      <protection/>
    </xf>
    <xf numFmtId="0" fontId="5" fillId="0" borderId="10" xfId="62" applyFont="1" applyFill="1" applyBorder="1" applyAlignment="1">
      <alignment vertical="center"/>
      <protection/>
    </xf>
    <xf numFmtId="4" fontId="5" fillId="0" borderId="10" xfId="62" applyNumberFormat="1" applyFont="1" applyFill="1" applyBorder="1" applyAlignment="1">
      <alignment horizontal="center" vertical="center"/>
      <protection/>
    </xf>
    <xf numFmtId="0" fontId="7" fillId="0" borderId="10" xfId="62" applyNumberFormat="1" applyFont="1" applyFill="1" applyBorder="1" applyAlignment="1">
      <alignment horizontal="center" vertical="center"/>
      <protection/>
    </xf>
    <xf numFmtId="0" fontId="7" fillId="0" borderId="10" xfId="0" applyFont="1" applyFill="1" applyBorder="1" applyAlignment="1">
      <alignment vertical="center"/>
    </xf>
    <xf numFmtId="4" fontId="7"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left" vertical="center" wrapText="1"/>
    </xf>
    <xf numFmtId="0" fontId="20" fillId="0" borderId="10" xfId="0" applyFont="1" applyBorder="1" applyAlignment="1">
      <alignment/>
    </xf>
    <xf numFmtId="4" fontId="7" fillId="0" borderId="10" xfId="0" applyNumberFormat="1" applyFont="1" applyFill="1" applyBorder="1" applyAlignment="1">
      <alignment vertical="center" wrapText="1"/>
    </xf>
    <xf numFmtId="0" fontId="21" fillId="0" borderId="10" xfId="58" applyFont="1" applyBorder="1" applyAlignment="1">
      <alignment horizontal="left" vertical="center"/>
      <protection/>
    </xf>
    <xf numFmtId="0" fontId="21" fillId="0" borderId="10" xfId="58" applyFont="1" applyBorder="1">
      <alignment/>
      <protection/>
    </xf>
    <xf numFmtId="4" fontId="8" fillId="0" borderId="0" xfId="0" applyNumberFormat="1" applyFont="1" applyFill="1" applyBorder="1" applyAlignment="1" applyProtection="1">
      <alignment horizontal="left" vertical="center" wrapText="1"/>
      <protection/>
    </xf>
    <xf numFmtId="4" fontId="8" fillId="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0" fontId="9" fillId="0" borderId="10" xfId="0" applyNumberFormat="1" applyFont="1" applyFill="1" applyBorder="1" applyAlignment="1" quotePrefix="1">
      <alignment horizontal="center" vertical="center" wrapText="1"/>
    </xf>
    <xf numFmtId="4" fontId="9" fillId="0" borderId="10" xfId="0" applyNumberFormat="1" applyFont="1" applyFill="1" applyBorder="1" applyAlignment="1" quotePrefix="1">
      <alignment horizontal="center" vertical="center" wrapText="1"/>
    </xf>
    <xf numFmtId="0" fontId="8" fillId="0" borderId="10" xfId="59" applyNumberFormat="1" applyFont="1" applyFill="1" applyBorder="1" applyAlignment="1">
      <alignment horizontal="center" vertical="center"/>
      <protection/>
    </xf>
    <xf numFmtId="4" fontId="8" fillId="0" borderId="10" xfId="59" applyNumberFormat="1" applyFont="1" applyFill="1" applyBorder="1" applyAlignment="1">
      <alignment horizontal="left" vertical="center"/>
      <protection/>
    </xf>
    <xf numFmtId="0" fontId="10" fillId="0" borderId="10" xfId="59" applyNumberFormat="1" applyFont="1" applyFill="1" applyBorder="1" applyAlignment="1">
      <alignment horizontal="center" vertical="center"/>
      <protection/>
    </xf>
    <xf numFmtId="4" fontId="10" fillId="0" borderId="10" xfId="59" applyNumberFormat="1" applyFont="1" applyFill="1" applyBorder="1" applyAlignment="1">
      <alignment horizontal="left" vertical="center"/>
      <protection/>
    </xf>
    <xf numFmtId="4" fontId="10" fillId="0" borderId="10" xfId="59" applyNumberFormat="1" applyFont="1" applyFill="1" applyBorder="1" applyAlignment="1">
      <alignment horizontal="center" vertical="center"/>
      <protection/>
    </xf>
    <xf numFmtId="4" fontId="9" fillId="0" borderId="10" xfId="59" applyNumberFormat="1" applyFont="1" applyFill="1" applyBorder="1" applyAlignment="1">
      <alignment horizontal="left" vertical="center"/>
      <protection/>
    </xf>
    <xf numFmtId="4" fontId="9" fillId="0" borderId="10" xfId="59" applyNumberFormat="1" applyFont="1" applyFill="1" applyBorder="1" applyAlignment="1">
      <alignment horizontal="center" vertical="center"/>
      <protection/>
    </xf>
    <xf numFmtId="4" fontId="9" fillId="0" borderId="10" xfId="59" applyNumberFormat="1" applyFont="1" applyFill="1" applyBorder="1" applyAlignment="1">
      <alignment horizontal="right" vertical="center"/>
      <protection/>
    </xf>
    <xf numFmtId="4" fontId="10" fillId="0" borderId="10" xfId="59" applyNumberFormat="1" applyFont="1" applyFill="1" applyBorder="1" applyAlignment="1">
      <alignment horizontal="right" vertical="center"/>
      <protection/>
    </xf>
    <xf numFmtId="4" fontId="8" fillId="0" borderId="10" xfId="59" applyNumberFormat="1" applyFont="1" applyFill="1" applyBorder="1" applyAlignment="1">
      <alignment horizontal="right" vertical="center"/>
      <protection/>
    </xf>
    <xf numFmtId="0" fontId="8" fillId="0" borderId="10" xfId="0" applyFont="1" applyFill="1" applyBorder="1" applyAlignment="1">
      <alignment horizontal="center" vertical="center" wrapText="1"/>
    </xf>
    <xf numFmtId="4" fontId="8" fillId="0" borderId="10" xfId="59" applyNumberFormat="1" applyFont="1" applyFill="1" applyBorder="1" applyAlignment="1">
      <alignment horizontal="center" vertical="center"/>
      <protection/>
    </xf>
    <xf numFmtId="0" fontId="5" fillId="0" borderId="0" xfId="0" applyNumberFormat="1" applyFont="1" applyFill="1" applyAlignment="1">
      <alignment horizontal="left"/>
    </xf>
    <xf numFmtId="4" fontId="5" fillId="0" borderId="0" xfId="0" applyNumberFormat="1" applyFont="1" applyFill="1" applyAlignment="1">
      <alignment/>
    </xf>
    <xf numFmtId="4" fontId="7" fillId="0" borderId="0" xfId="0" applyNumberFormat="1" applyFont="1" applyFill="1" applyAlignment="1">
      <alignment horizontal="center"/>
    </xf>
    <xf numFmtId="4" fontId="7" fillId="0" borderId="0" xfId="0" applyNumberFormat="1" applyFont="1" applyFill="1" applyAlignment="1">
      <alignment/>
    </xf>
    <xf numFmtId="0" fontId="6" fillId="0" borderId="10" xfId="0" applyNumberFormat="1" applyFont="1" applyFill="1" applyBorder="1" applyAlignment="1" quotePrefix="1">
      <alignment horizontal="center" vertical="center" wrapText="1"/>
    </xf>
    <xf numFmtId="4" fontId="6" fillId="0" borderId="10" xfId="0" applyNumberFormat="1" applyFont="1" applyFill="1" applyBorder="1" applyAlignment="1" quotePrefix="1">
      <alignment horizontal="center" vertical="center" wrapText="1"/>
    </xf>
    <xf numFmtId="4" fontId="6" fillId="0" borderId="10" xfId="0" applyNumberFormat="1" applyFont="1" applyFill="1" applyBorder="1" applyAlignment="1">
      <alignment horizontal="center" vertical="center" wrapText="1"/>
    </xf>
    <xf numFmtId="0"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left" vertical="center"/>
      <protection/>
    </xf>
    <xf numFmtId="0" fontId="7" fillId="0" borderId="10" xfId="59" applyNumberFormat="1" applyFont="1" applyFill="1" applyBorder="1" applyAlignment="1">
      <alignment horizontal="center" vertical="center"/>
      <protection/>
    </xf>
    <xf numFmtId="4" fontId="7" fillId="0" borderId="10" xfId="59" applyNumberFormat="1" applyFont="1" applyFill="1" applyBorder="1" applyAlignment="1">
      <alignment horizontal="left" vertical="center"/>
      <protection/>
    </xf>
    <xf numFmtId="4" fontId="7" fillId="0" borderId="10" xfId="59" applyNumberFormat="1" applyFont="1" applyFill="1" applyBorder="1" applyAlignment="1">
      <alignment horizontal="center" vertical="center"/>
      <protection/>
    </xf>
    <xf numFmtId="4" fontId="7" fillId="0" borderId="10" xfId="59" applyNumberFormat="1" applyFont="1" applyFill="1" applyBorder="1" applyAlignment="1">
      <alignment horizontal="right" vertical="center"/>
      <protection/>
    </xf>
    <xf numFmtId="4" fontId="5" fillId="0" borderId="10" xfId="59" applyNumberFormat="1" applyFont="1" applyFill="1" applyBorder="1" applyAlignment="1">
      <alignment horizontal="right" vertical="center"/>
      <protection/>
    </xf>
    <xf numFmtId="4" fontId="5" fillId="0" borderId="10" xfId="59" applyNumberFormat="1" applyFont="1" applyFill="1" applyBorder="1" applyAlignment="1">
      <alignment horizontal="center" vertical="center"/>
      <protection/>
    </xf>
    <xf numFmtId="0" fontId="5" fillId="0" borderId="10" xfId="0" applyFont="1" applyFill="1" applyBorder="1" applyAlignment="1">
      <alignment horizontal="center" vertical="center" wrapText="1"/>
    </xf>
    <xf numFmtId="4" fontId="6" fillId="0" borderId="10" xfId="59" applyNumberFormat="1" applyFont="1" applyFill="1" applyBorder="1" applyAlignment="1">
      <alignment horizontal="left" vertical="center"/>
      <protection/>
    </xf>
    <xf numFmtId="4" fontId="6" fillId="0" borderId="10" xfId="59" applyNumberFormat="1" applyFont="1" applyFill="1" applyBorder="1" applyAlignment="1">
      <alignment horizontal="center" vertical="center"/>
      <protection/>
    </xf>
    <xf numFmtId="4" fontId="6" fillId="0" borderId="10" xfId="59" applyNumberFormat="1" applyFont="1" applyFill="1" applyBorder="1" applyAlignment="1">
      <alignment horizontal="right" vertical="center"/>
      <protection/>
    </xf>
    <xf numFmtId="4" fontId="12" fillId="0" borderId="10" xfId="0" applyNumberFormat="1" applyFont="1" applyFill="1" applyBorder="1" applyAlignment="1" quotePrefix="1">
      <alignment horizontal="center" vertical="center" wrapText="1"/>
    </xf>
    <xf numFmtId="4" fontId="8" fillId="0" borderId="10" xfId="0" applyNumberFormat="1" applyFont="1" applyFill="1" applyBorder="1" applyAlignment="1">
      <alignment horizontal="left" vertical="center" wrapText="1"/>
    </xf>
    <xf numFmtId="4" fontId="6" fillId="0" borderId="0" xfId="57" applyNumberFormat="1" applyFont="1" applyFill="1" applyBorder="1" applyAlignment="1">
      <alignment horizontal="right" vertical="center" wrapText="1"/>
      <protection/>
    </xf>
    <xf numFmtId="4" fontId="5" fillId="0" borderId="0" xfId="57" applyNumberFormat="1" applyFont="1" applyFill="1" applyBorder="1" applyAlignment="1">
      <alignment horizontal="left" vertical="center" wrapText="1"/>
      <protection/>
    </xf>
    <xf numFmtId="4" fontId="5" fillId="0" borderId="0" xfId="57" applyNumberFormat="1" applyFont="1" applyFill="1" applyBorder="1" applyAlignment="1">
      <alignment horizontal="center" vertical="center" wrapText="1"/>
      <protection/>
    </xf>
    <xf numFmtId="0" fontId="15" fillId="0" borderId="10" xfId="65" applyFont="1" applyFill="1" applyBorder="1" applyAlignment="1">
      <alignment horizontal="center" vertical="center"/>
      <protection/>
    </xf>
    <xf numFmtId="0" fontId="16" fillId="0" borderId="10" xfId="65" applyFont="1" applyFill="1" applyBorder="1" applyAlignment="1">
      <alignment horizontal="center" vertical="center" wrapText="1"/>
      <protection/>
    </xf>
    <xf numFmtId="4" fontId="16" fillId="0" borderId="10" xfId="65" applyNumberFormat="1" applyFont="1" applyFill="1" applyBorder="1" applyAlignment="1">
      <alignment horizontal="center" vertical="center" wrapText="1"/>
      <protection/>
    </xf>
    <xf numFmtId="172" fontId="16" fillId="0" borderId="10" xfId="65" applyNumberFormat="1" applyFont="1" applyFill="1" applyBorder="1" applyAlignment="1">
      <alignment horizontal="center" vertical="center"/>
      <protection/>
    </xf>
    <xf numFmtId="0" fontId="15" fillId="0" borderId="10" xfId="65" applyFont="1" applyFill="1" applyBorder="1" applyAlignment="1">
      <alignment vertical="center"/>
      <protection/>
    </xf>
    <xf numFmtId="1" fontId="16" fillId="0" borderId="10" xfId="65" applyNumberFormat="1" applyFont="1" applyFill="1" applyBorder="1" applyAlignment="1">
      <alignment horizontal="center" vertical="center"/>
      <protection/>
    </xf>
    <xf numFmtId="43" fontId="15" fillId="0" borderId="10" xfId="65" applyNumberFormat="1" applyFont="1" applyFill="1" applyBorder="1" applyAlignment="1">
      <alignment horizontal="right" vertical="center"/>
      <protection/>
    </xf>
    <xf numFmtId="1" fontId="15" fillId="0" borderId="10" xfId="65" applyNumberFormat="1" applyFont="1" applyFill="1" applyBorder="1" applyAlignment="1">
      <alignment horizontal="center" vertical="center"/>
      <protection/>
    </xf>
    <xf numFmtId="0" fontId="16" fillId="0" borderId="10" xfId="65" applyFont="1" applyFill="1" applyBorder="1" applyAlignment="1">
      <alignment horizontal="center" vertical="center"/>
      <protection/>
    </xf>
    <xf numFmtId="0" fontId="16" fillId="0" borderId="10" xfId="65" applyFont="1" applyFill="1" applyBorder="1" applyAlignment="1">
      <alignment vertical="center"/>
      <protection/>
    </xf>
    <xf numFmtId="4" fontId="16" fillId="0" borderId="10" xfId="65" applyNumberFormat="1" applyFont="1" applyFill="1" applyBorder="1" applyAlignment="1">
      <alignment vertical="center"/>
      <protection/>
    </xf>
    <xf numFmtId="43" fontId="16" fillId="0" borderId="10" xfId="65" applyNumberFormat="1" applyFont="1" applyFill="1" applyBorder="1" applyAlignment="1">
      <alignment horizontal="right" vertical="center"/>
      <protection/>
    </xf>
    <xf numFmtId="2" fontId="16" fillId="0" borderId="10" xfId="65" applyNumberFormat="1" applyFont="1" applyFill="1" applyBorder="1" applyAlignment="1">
      <alignment vertical="center" wrapText="1"/>
      <protection/>
    </xf>
    <xf numFmtId="39" fontId="16" fillId="0" borderId="10" xfId="65" applyNumberFormat="1" applyFont="1" applyFill="1" applyBorder="1" applyAlignment="1">
      <alignment horizontal="right" vertical="center"/>
      <protection/>
    </xf>
    <xf numFmtId="2" fontId="15" fillId="0" borderId="10" xfId="65" applyNumberFormat="1" applyFont="1" applyFill="1" applyBorder="1" applyAlignment="1">
      <alignment vertical="center" wrapText="1"/>
      <protection/>
    </xf>
    <xf numFmtId="2" fontId="16" fillId="0" borderId="10" xfId="65" applyNumberFormat="1" applyFont="1" applyFill="1" applyBorder="1" applyAlignment="1">
      <alignment vertical="center"/>
      <protection/>
    </xf>
    <xf numFmtId="2" fontId="15" fillId="0" borderId="10" xfId="65" applyNumberFormat="1" applyFont="1" applyFill="1" applyBorder="1" applyAlignment="1">
      <alignment horizontal="left" vertical="center"/>
      <protection/>
    </xf>
    <xf numFmtId="43" fontId="15" fillId="0" borderId="10" xfId="65" applyNumberFormat="1" applyFont="1" applyFill="1" applyBorder="1" applyAlignment="1">
      <alignment horizontal="center" vertical="center"/>
      <protection/>
    </xf>
    <xf numFmtId="43" fontId="15" fillId="0" borderId="10" xfId="65" applyNumberFormat="1" applyFont="1" applyFill="1" applyBorder="1" applyAlignment="1">
      <alignment horizontal="right"/>
      <protection/>
    </xf>
    <xf numFmtId="0" fontId="5" fillId="0" borderId="10" xfId="59" applyNumberFormat="1" applyFont="1" applyFill="1" applyBorder="1" applyAlignment="1" quotePrefix="1">
      <alignment horizontal="center" vertical="center"/>
      <protection/>
    </xf>
    <xf numFmtId="172" fontId="7" fillId="0" borderId="10" xfId="60" applyNumberFormat="1" applyFont="1" applyFill="1" applyBorder="1" applyAlignment="1">
      <alignment horizontal="center" vertical="center"/>
      <protection/>
    </xf>
    <xf numFmtId="172" fontId="5" fillId="0" borderId="10" xfId="60" applyNumberFormat="1" applyFont="1" applyFill="1" applyBorder="1" applyAlignment="1">
      <alignment horizontal="center" vertical="center"/>
      <protection/>
    </xf>
    <xf numFmtId="4" fontId="5" fillId="0" borderId="11" xfId="60" applyNumberFormat="1" applyFont="1" applyFill="1" applyBorder="1" applyAlignment="1">
      <alignment horizontal="right" vertical="center"/>
      <protection/>
    </xf>
    <xf numFmtId="4" fontId="5" fillId="0" borderId="11" xfId="60" applyNumberFormat="1" applyFont="1" applyFill="1" applyBorder="1" applyAlignment="1">
      <alignment horizontal="right" vertical="center" wrapText="1"/>
      <protection/>
    </xf>
    <xf numFmtId="4" fontId="5" fillId="0" borderId="10" xfId="66" applyNumberFormat="1" applyFont="1" applyFill="1" applyBorder="1" applyAlignment="1">
      <alignment horizontal="left" vertical="center" wrapText="1"/>
      <protection/>
    </xf>
    <xf numFmtId="4" fontId="7" fillId="0" borderId="10" xfId="60" applyNumberFormat="1" applyFont="1" applyFill="1" applyBorder="1" applyAlignment="1">
      <alignment horizontal="center" vertical="center"/>
      <protection/>
    </xf>
    <xf numFmtId="4" fontId="5" fillId="0" borderId="10" xfId="60" applyNumberFormat="1" applyFont="1" applyFill="1" applyBorder="1" applyAlignment="1">
      <alignment horizontal="right" vertical="center"/>
      <protection/>
    </xf>
    <xf numFmtId="4" fontId="5" fillId="32" borderId="10" xfId="60" applyNumberFormat="1" applyFont="1" applyFill="1" applyBorder="1" applyAlignment="1">
      <alignment horizontal="right" vertical="center"/>
      <protection/>
    </xf>
    <xf numFmtId="4" fontId="7" fillId="0" borderId="10" xfId="60" applyNumberFormat="1" applyFont="1" applyFill="1" applyBorder="1" applyAlignment="1">
      <alignment horizontal="right" vertical="center"/>
      <protection/>
    </xf>
    <xf numFmtId="4" fontId="5" fillId="0" borderId="10" xfId="60" applyNumberFormat="1" applyFont="1" applyFill="1" applyBorder="1" applyAlignment="1">
      <alignment horizontal="right" vertical="center" wrapText="1"/>
      <protection/>
    </xf>
    <xf numFmtId="4" fontId="5" fillId="0" borderId="12" xfId="60" applyNumberFormat="1" applyFont="1" applyFill="1" applyBorder="1" applyAlignment="1">
      <alignment horizontal="right" vertical="center" wrapText="1"/>
      <protection/>
    </xf>
    <xf numFmtId="4" fontId="5" fillId="0" borderId="10" xfId="60" applyNumberFormat="1" applyFont="1" applyFill="1" applyBorder="1" applyAlignment="1">
      <alignment horizontal="center" vertical="center"/>
      <protection/>
    </xf>
    <xf numFmtId="4" fontId="5" fillId="0" borderId="10" xfId="66" applyNumberFormat="1" applyFont="1" applyFill="1" applyBorder="1" applyAlignment="1">
      <alignment horizontal="left" vertical="center"/>
      <protection/>
    </xf>
    <xf numFmtId="0" fontId="5" fillId="0" borderId="10" xfId="61" applyFont="1" applyFill="1" applyBorder="1" applyAlignment="1">
      <alignment horizontal="center" vertical="center" wrapText="1"/>
      <protection/>
    </xf>
    <xf numFmtId="0" fontId="22" fillId="0" borderId="0" xfId="0" applyFont="1" applyAlignment="1">
      <alignment/>
    </xf>
    <xf numFmtId="0" fontId="0" fillId="0" borderId="10" xfId="0" applyBorder="1" applyAlignment="1">
      <alignment/>
    </xf>
    <xf numFmtId="0" fontId="7" fillId="0" borderId="10" xfId="58" applyFont="1" applyBorder="1" applyAlignment="1">
      <alignment horizontal="left" vertical="center" wrapText="1"/>
      <protection/>
    </xf>
    <xf numFmtId="0" fontId="7" fillId="0" borderId="10" xfId="58" applyFont="1" applyFill="1" applyBorder="1" applyAlignment="1">
      <alignment horizontal="center" vertical="center" wrapText="1"/>
      <protection/>
    </xf>
    <xf numFmtId="0" fontId="23" fillId="0" borderId="10" xfId="0" applyFont="1" applyBorder="1" applyAlignment="1">
      <alignment/>
    </xf>
    <xf numFmtId="4" fontId="5" fillId="0" borderId="10" xfId="0" applyNumberFormat="1" applyFont="1" applyFill="1" applyBorder="1" applyAlignment="1">
      <alignment vertical="center" wrapText="1"/>
    </xf>
    <xf numFmtId="0" fontId="23" fillId="0" borderId="0" xfId="0" applyFont="1" applyAlignment="1">
      <alignment/>
    </xf>
    <xf numFmtId="0" fontId="18" fillId="0" borderId="0" xfId="0" applyFont="1" applyAlignment="1">
      <alignment/>
    </xf>
    <xf numFmtId="0" fontId="21" fillId="0" borderId="10" xfId="0" applyFont="1" applyBorder="1" applyAlignment="1">
      <alignment/>
    </xf>
    <xf numFmtId="0" fontId="5" fillId="0" borderId="13" xfId="60" applyFont="1" applyFill="1" applyBorder="1" applyAlignment="1">
      <alignment horizontal="center" vertical="center" wrapText="1"/>
      <protection/>
    </xf>
    <xf numFmtId="0" fontId="5" fillId="0" borderId="13" xfId="60" applyFont="1" applyFill="1" applyBorder="1" applyAlignment="1">
      <alignment horizontal="center" vertical="center"/>
      <protection/>
    </xf>
    <xf numFmtId="4" fontId="5" fillId="0" borderId="13" xfId="66" applyNumberFormat="1" applyFont="1" applyFill="1" applyBorder="1" applyAlignment="1">
      <alignment horizontal="center" vertical="center" wrapText="1"/>
      <protection/>
    </xf>
    <xf numFmtId="4" fontId="5" fillId="0" borderId="12" xfId="66" applyNumberFormat="1" applyFont="1" applyFill="1" applyBorder="1" applyAlignment="1">
      <alignment horizontal="center" vertical="center" wrapText="1"/>
      <protection/>
    </xf>
    <xf numFmtId="2" fontId="5" fillId="0" borderId="12" xfId="66" applyNumberFormat="1" applyFont="1" applyFill="1" applyBorder="1" applyAlignment="1">
      <alignment horizontal="center" vertical="center" wrapText="1"/>
      <protection/>
    </xf>
    <xf numFmtId="172" fontId="7" fillId="0" borderId="14" xfId="60" applyNumberFormat="1" applyFont="1" applyFill="1" applyBorder="1" applyAlignment="1">
      <alignment horizontal="center" vertical="center"/>
      <protection/>
    </xf>
    <xf numFmtId="172" fontId="7" fillId="0" borderId="15" xfId="60" applyNumberFormat="1" applyFont="1" applyFill="1" applyBorder="1" applyAlignment="1">
      <alignment horizontal="center" vertical="center"/>
      <protection/>
    </xf>
    <xf numFmtId="172" fontId="7" fillId="0" borderId="13" xfId="60" applyNumberFormat="1" applyFont="1" applyFill="1" applyBorder="1" applyAlignment="1">
      <alignment horizontal="center" vertical="center"/>
      <protection/>
    </xf>
    <xf numFmtId="4" fontId="5" fillId="0" borderId="14" xfId="66" applyNumberFormat="1" applyFont="1" applyFill="1" applyBorder="1" applyAlignment="1">
      <alignment horizontal="center" vertical="center"/>
      <protection/>
    </xf>
    <xf numFmtId="4" fontId="5" fillId="0" borderId="11" xfId="66" applyNumberFormat="1" applyFont="1" applyFill="1" applyBorder="1" applyAlignment="1">
      <alignment horizontal="center" vertical="center"/>
      <protection/>
    </xf>
    <xf numFmtId="4" fontId="7" fillId="0" borderId="11" xfId="60" applyNumberFormat="1" applyFont="1" applyFill="1" applyBorder="1" applyAlignment="1">
      <alignment horizontal="center" vertical="center"/>
      <protection/>
    </xf>
    <xf numFmtId="4" fontId="7" fillId="0" borderId="11" xfId="42" applyNumberFormat="1" applyFont="1" applyFill="1" applyBorder="1" applyAlignment="1">
      <alignment horizontal="right" vertical="center"/>
    </xf>
    <xf numFmtId="4" fontId="7" fillId="0" borderId="11" xfId="60" applyNumberFormat="1" applyFont="1" applyFill="1" applyBorder="1" applyAlignment="1">
      <alignment horizontal="right" vertical="center"/>
      <protection/>
    </xf>
    <xf numFmtId="4" fontId="7" fillId="0" borderId="16" xfId="60" applyNumberFormat="1" applyFont="1" applyFill="1" applyBorder="1" applyAlignment="1">
      <alignment horizontal="right" vertical="center"/>
      <protection/>
    </xf>
    <xf numFmtId="4" fontId="5" fillId="0" borderId="17" xfId="66" applyNumberFormat="1" applyFont="1" applyFill="1" applyBorder="1" applyAlignment="1">
      <alignment horizontal="center" vertical="center"/>
      <protection/>
    </xf>
    <xf numFmtId="4" fontId="7" fillId="0" borderId="18" xfId="66" applyNumberFormat="1" applyFont="1" applyFill="1" applyBorder="1" applyAlignment="1">
      <alignment horizontal="center" vertical="center"/>
      <protection/>
    </xf>
    <xf numFmtId="4" fontId="7" fillId="0" borderId="18" xfId="66" applyNumberFormat="1" applyFont="1" applyFill="1" applyBorder="1" applyAlignment="1">
      <alignment horizontal="left" vertical="center"/>
      <protection/>
    </xf>
    <xf numFmtId="4" fontId="7" fillId="0" borderId="12" xfId="60" applyNumberFormat="1" applyFont="1" applyFill="1" applyBorder="1" applyAlignment="1">
      <alignment horizontal="right" vertical="center"/>
      <protection/>
    </xf>
    <xf numFmtId="4" fontId="7" fillId="0" borderId="18" xfId="60" applyNumberFormat="1" applyFont="1" applyFill="1" applyBorder="1" applyAlignment="1">
      <alignment horizontal="center" vertical="center"/>
      <protection/>
    </xf>
    <xf numFmtId="4" fontId="7" fillId="0" borderId="18" xfId="60" applyNumberFormat="1" applyFont="1" applyFill="1" applyBorder="1" applyAlignment="1">
      <alignment horizontal="right" vertical="center"/>
      <protection/>
    </xf>
    <xf numFmtId="4" fontId="5" fillId="0" borderId="18" xfId="60" applyNumberFormat="1" applyFont="1" applyFill="1" applyBorder="1" applyAlignment="1">
      <alignment horizontal="right" vertical="center"/>
      <protection/>
    </xf>
    <xf numFmtId="2" fontId="7" fillId="0" borderId="18" xfId="64" applyNumberFormat="1" applyFont="1" applyFill="1" applyBorder="1" applyAlignment="1">
      <alignment horizontal="left" vertical="center"/>
      <protection/>
    </xf>
    <xf numFmtId="4" fontId="7" fillId="0" borderId="18" xfId="66" applyNumberFormat="1" applyFont="1" applyFill="1" applyBorder="1" applyAlignment="1">
      <alignment vertical="center"/>
      <protection/>
    </xf>
    <xf numFmtId="4" fontId="7" fillId="0" borderId="18" xfId="66" applyNumberFormat="1" applyFont="1" applyFill="1" applyBorder="1" applyAlignment="1">
      <alignment horizontal="justify" vertical="center" wrapText="1"/>
      <protection/>
    </xf>
    <xf numFmtId="4" fontId="7" fillId="0" borderId="18" xfId="66" applyNumberFormat="1" applyFont="1" applyFill="1" applyBorder="1" applyAlignment="1">
      <alignment horizontal="center" vertical="center" wrapText="1"/>
      <protection/>
    </xf>
    <xf numFmtId="4" fontId="7" fillId="0" borderId="18" xfId="66" applyNumberFormat="1" applyFont="1" applyFill="1" applyBorder="1" applyAlignment="1">
      <alignment vertical="center" wrapText="1"/>
      <protection/>
    </xf>
    <xf numFmtId="2" fontId="7" fillId="0" borderId="18" xfId="66" applyNumberFormat="1" applyFont="1" applyFill="1" applyBorder="1" applyAlignment="1">
      <alignment horizontal="center" vertical="center" wrapText="1"/>
      <protection/>
    </xf>
    <xf numFmtId="4" fontId="7" fillId="0" borderId="18" xfId="66" applyNumberFormat="1" applyFont="1" applyFill="1" applyBorder="1" applyAlignment="1">
      <alignment horizontal="left" vertical="center" wrapText="1"/>
      <protection/>
    </xf>
    <xf numFmtId="0" fontId="5" fillId="0" borderId="19" xfId="60" applyFont="1" applyFill="1" applyBorder="1" applyAlignment="1">
      <alignment horizontal="center" vertical="center"/>
      <protection/>
    </xf>
    <xf numFmtId="0" fontId="5" fillId="0" borderId="15" xfId="61" applyFont="1" applyFill="1" applyBorder="1" applyAlignment="1">
      <alignment horizontal="center" vertical="center" wrapText="1"/>
      <protection/>
    </xf>
    <xf numFmtId="0" fontId="5" fillId="0" borderId="13" xfId="61" applyFont="1" applyFill="1" applyBorder="1" applyAlignment="1">
      <alignment horizontal="center" vertical="center" wrapText="1"/>
      <protection/>
    </xf>
    <xf numFmtId="4" fontId="5" fillId="0" borderId="13" xfId="60" applyNumberFormat="1" applyFont="1" applyFill="1" applyBorder="1" applyAlignment="1">
      <alignment horizontal="right" vertical="center"/>
      <protection/>
    </xf>
    <xf numFmtId="4" fontId="24" fillId="0" borderId="10" xfId="62" applyNumberFormat="1" applyFont="1" applyFill="1" applyBorder="1" applyAlignment="1">
      <alignment horizontal="right" vertical="center"/>
      <protection/>
    </xf>
    <xf numFmtId="4" fontId="5" fillId="0" borderId="10" xfId="0" applyNumberFormat="1" applyFont="1" applyFill="1" applyBorder="1" applyAlignment="1">
      <alignment horizontal="center" vertical="center" wrapText="1"/>
    </xf>
    <xf numFmtId="39" fontId="7" fillId="0" borderId="10" xfId="63" applyNumberFormat="1" applyFont="1" applyFill="1" applyBorder="1" applyAlignment="1">
      <alignment horizontal="left" vertical="center" wrapText="1"/>
      <protection/>
    </xf>
    <xf numFmtId="0" fontId="5" fillId="0" borderId="10" xfId="0" applyFont="1" applyFill="1" applyBorder="1" applyAlignment="1">
      <alignment vertical="center"/>
    </xf>
    <xf numFmtId="0" fontId="7" fillId="0" borderId="10" xfId="62" applyNumberFormat="1" applyFont="1" applyFill="1" applyBorder="1" applyAlignment="1">
      <alignment horizontal="center" vertical="center" wrapText="1"/>
      <protection/>
    </xf>
    <xf numFmtId="0" fontId="7" fillId="0" borderId="10" xfId="62" applyFont="1" applyFill="1" applyBorder="1" applyAlignment="1">
      <alignment horizontal="center" vertical="center"/>
      <protection/>
    </xf>
    <xf numFmtId="0" fontId="7" fillId="0" borderId="10" xfId="62" applyFont="1" applyFill="1" applyBorder="1" applyAlignment="1">
      <alignment vertical="center"/>
      <protection/>
    </xf>
    <xf numFmtId="4" fontId="7" fillId="0" borderId="10" xfId="62" applyNumberFormat="1" applyFont="1" applyFill="1" applyBorder="1" applyAlignment="1">
      <alignment horizontal="center" vertical="center"/>
      <protection/>
    </xf>
    <xf numFmtId="0" fontId="0" fillId="0" borderId="0" xfId="0" applyFont="1" applyAlignment="1">
      <alignment/>
    </xf>
    <xf numFmtId="4" fontId="7" fillId="0" borderId="10" xfId="62" applyNumberFormat="1" applyFont="1" applyFill="1" applyBorder="1" applyAlignment="1">
      <alignment vertical="center"/>
      <protection/>
    </xf>
    <xf numFmtId="0" fontId="5" fillId="0" borderId="10" xfId="62" applyNumberFormat="1" applyFont="1" applyFill="1" applyBorder="1" applyAlignment="1">
      <alignment horizontal="center" vertical="center"/>
      <protection/>
    </xf>
    <xf numFmtId="4" fontId="5" fillId="0" borderId="10" xfId="0" applyNumberFormat="1" applyFont="1" applyFill="1" applyBorder="1" applyAlignment="1">
      <alignment horizontal="left" vertical="center" wrapText="1"/>
    </xf>
    <xf numFmtId="0" fontId="7" fillId="0" borderId="10" xfId="58" applyFont="1" applyFill="1" applyBorder="1" applyAlignment="1">
      <alignment vertical="center"/>
      <protection/>
    </xf>
    <xf numFmtId="4" fontId="0" fillId="0" borderId="0" xfId="0" applyNumberFormat="1" applyAlignment="1">
      <alignment/>
    </xf>
    <xf numFmtId="0" fontId="7" fillId="0" borderId="10" xfId="0" applyFont="1" applyFill="1" applyBorder="1" applyAlignment="1">
      <alignment horizontal="center" vertical="center" wrapText="1"/>
    </xf>
    <xf numFmtId="4" fontId="8" fillId="0" borderId="10" xfId="0" applyNumberFormat="1" applyFont="1" applyFill="1" applyBorder="1" applyAlignment="1" quotePrefix="1">
      <alignment horizontal="center" vertical="center" wrapText="1"/>
    </xf>
    <xf numFmtId="0" fontId="16" fillId="0" borderId="10" xfId="65" applyFont="1" applyFill="1" applyBorder="1">
      <alignment/>
      <protection/>
    </xf>
    <xf numFmtId="0" fontId="22" fillId="0" borderId="20" xfId="0" applyFont="1" applyBorder="1" applyAlignment="1">
      <alignment horizontal="right" vertical="center"/>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1" fillId="0" borderId="0" xfId="0" applyFont="1" applyAlignment="1">
      <alignment vertical="center" wrapText="1"/>
    </xf>
    <xf numFmtId="0" fontId="27" fillId="0" borderId="24" xfId="0" applyFont="1" applyBorder="1" applyAlignment="1">
      <alignment horizontal="center" vertical="center" wrapText="1"/>
    </xf>
    <xf numFmtId="0" fontId="27" fillId="0" borderId="20" xfId="0" applyFont="1" applyBorder="1" applyAlignment="1">
      <alignment horizontal="center" vertical="center" wrapText="1"/>
    </xf>
    <xf numFmtId="0" fontId="26" fillId="0" borderId="24" xfId="0" applyFont="1" applyBorder="1" applyAlignment="1">
      <alignment horizontal="center" vertical="center"/>
    </xf>
    <xf numFmtId="0" fontId="26" fillId="0" borderId="20" xfId="0" applyFont="1" applyBorder="1" applyAlignment="1">
      <alignment vertical="center"/>
    </xf>
    <xf numFmtId="0" fontId="26" fillId="0" borderId="20" xfId="0" applyFont="1" applyBorder="1" applyAlignment="1">
      <alignment horizontal="center" vertical="center" wrapText="1"/>
    </xf>
    <xf numFmtId="0" fontId="22" fillId="0" borderId="24" xfId="0" applyFont="1" applyBorder="1" applyAlignment="1">
      <alignment horizontal="center" vertical="center"/>
    </xf>
    <xf numFmtId="0" fontId="22" fillId="0" borderId="20" xfId="0" applyFont="1" applyBorder="1" applyAlignment="1">
      <alignment vertical="center"/>
    </xf>
    <xf numFmtId="0" fontId="22" fillId="0" borderId="20" xfId="0" applyFont="1" applyBorder="1" applyAlignment="1">
      <alignment horizontal="center" vertical="center"/>
    </xf>
    <xf numFmtId="0" fontId="27" fillId="0" borderId="20" xfId="0" applyFont="1" applyBorder="1" applyAlignment="1">
      <alignment vertical="center"/>
    </xf>
    <xf numFmtId="0" fontId="27" fillId="0" borderId="20" xfId="0" applyFont="1" applyBorder="1" applyAlignment="1">
      <alignment horizontal="center" vertical="center"/>
    </xf>
    <xf numFmtId="0" fontId="27" fillId="0" borderId="20" xfId="0" applyFont="1" applyBorder="1" applyAlignment="1">
      <alignment horizontal="right" vertical="center"/>
    </xf>
    <xf numFmtId="0" fontId="26" fillId="0" borderId="20" xfId="0" applyFont="1" applyBorder="1" applyAlignment="1">
      <alignment horizontal="center" vertical="center"/>
    </xf>
    <xf numFmtId="4" fontId="26" fillId="0" borderId="20" xfId="0" applyNumberFormat="1" applyFont="1" applyBorder="1" applyAlignment="1">
      <alignment horizontal="right" vertical="center"/>
    </xf>
    <xf numFmtId="2" fontId="26" fillId="0" borderId="20" xfId="0" applyNumberFormat="1" applyFont="1" applyBorder="1" applyAlignment="1">
      <alignment horizontal="right" vertical="center"/>
    </xf>
    <xf numFmtId="2" fontId="22" fillId="0" borderId="20" xfId="0" applyNumberFormat="1" applyFont="1" applyBorder="1" applyAlignment="1">
      <alignment horizontal="right" vertical="center"/>
    </xf>
    <xf numFmtId="2" fontId="27" fillId="0" borderId="20" xfId="0" applyNumberFormat="1" applyFont="1" applyBorder="1" applyAlignment="1">
      <alignment horizontal="right" vertical="center"/>
    </xf>
    <xf numFmtId="2" fontId="0" fillId="0" borderId="0" xfId="0" applyNumberFormat="1" applyAlignment="1">
      <alignment/>
    </xf>
    <xf numFmtId="2" fontId="21" fillId="0" borderId="0" xfId="0" applyNumberFormat="1" applyFont="1" applyAlignment="1">
      <alignment vertical="center" wrapText="1"/>
    </xf>
    <xf numFmtId="4" fontId="8" fillId="0" borderId="10" xfId="0" applyNumberFormat="1" applyFont="1" applyFill="1" applyBorder="1" applyAlignment="1" quotePrefix="1">
      <alignment horizontal="right" vertical="center" wrapText="1"/>
    </xf>
    <xf numFmtId="2" fontId="20" fillId="0" borderId="0" xfId="0" applyNumberFormat="1" applyFont="1" applyAlignment="1">
      <alignment/>
    </xf>
    <xf numFmtId="0" fontId="28" fillId="0" borderId="10" xfId="62" applyNumberFormat="1" applyFont="1" applyFill="1" applyBorder="1" applyAlignment="1">
      <alignment horizontal="center" vertical="center"/>
      <protection/>
    </xf>
    <xf numFmtId="4" fontId="22" fillId="0" borderId="20" xfId="0" applyNumberFormat="1" applyFont="1" applyBorder="1" applyAlignment="1">
      <alignment horizontal="right" vertical="center"/>
    </xf>
    <xf numFmtId="0" fontId="5" fillId="33" borderId="10" xfId="58" applyFont="1" applyFill="1" applyBorder="1" applyAlignment="1">
      <alignment horizontal="center" vertical="center"/>
      <protection/>
    </xf>
    <xf numFmtId="0" fontId="5" fillId="0" borderId="10" xfId="63" applyFont="1" applyFill="1" applyBorder="1" applyAlignment="1">
      <alignment horizontal="center" vertical="center"/>
      <protection/>
    </xf>
    <xf numFmtId="0" fontId="20" fillId="0" borderId="0" xfId="0" applyFont="1" applyAlignment="1">
      <alignment/>
    </xf>
    <xf numFmtId="0" fontId="0" fillId="0" borderId="0" xfId="0" applyAlignment="1">
      <alignment/>
    </xf>
    <xf numFmtId="187" fontId="7" fillId="0" borderId="10" xfId="62" applyNumberFormat="1" applyFont="1" applyFill="1" applyBorder="1" applyAlignment="1">
      <alignment horizontal="right" vertical="center"/>
      <protection/>
    </xf>
    <xf numFmtId="39" fontId="7" fillId="0" borderId="10" xfId="63" applyNumberFormat="1" applyFont="1" applyFill="1" applyBorder="1" applyAlignment="1">
      <alignment horizontal="left" vertical="center"/>
      <protection/>
    </xf>
    <xf numFmtId="4" fontId="8" fillId="0" borderId="0" xfId="0" applyNumberFormat="1" applyFont="1" applyFill="1" applyBorder="1" applyAlignment="1" applyProtection="1">
      <alignment vertical="center" wrapText="1"/>
      <protection/>
    </xf>
    <xf numFmtId="4" fontId="5" fillId="0" borderId="0" xfId="57" applyNumberFormat="1" applyFont="1" applyFill="1" applyBorder="1" applyAlignment="1">
      <alignment vertical="center" wrapText="1"/>
      <protection/>
    </xf>
    <xf numFmtId="0" fontId="22" fillId="0" borderId="10" xfId="0" applyFont="1" applyBorder="1" applyAlignment="1">
      <alignment vertical="center" wrapText="1"/>
    </xf>
    <xf numFmtId="4" fontId="8" fillId="0" borderId="0" xfId="0" applyNumberFormat="1" applyFont="1" applyFill="1" applyBorder="1" applyAlignment="1">
      <alignment horizontal="left" vertical="center" wrapText="1"/>
    </xf>
    <xf numFmtId="4" fontId="7" fillId="0" borderId="25" xfId="60" applyNumberFormat="1" applyFont="1" applyFill="1" applyBorder="1" applyAlignment="1">
      <alignment horizontal="right" vertical="center"/>
      <protection/>
    </xf>
    <xf numFmtId="4" fontId="7" fillId="0" borderId="26" xfId="60" applyNumberFormat="1" applyFont="1" applyFill="1" applyBorder="1" applyAlignment="1">
      <alignment horizontal="right" vertical="center"/>
      <protection/>
    </xf>
    <xf numFmtId="4" fontId="7" fillId="0" borderId="27" xfId="60" applyNumberFormat="1" applyFont="1" applyFill="1" applyBorder="1" applyAlignment="1">
      <alignment horizontal="right" vertical="center"/>
      <protection/>
    </xf>
    <xf numFmtId="4" fontId="7" fillId="0" borderId="28" xfId="60" applyNumberFormat="1" applyFont="1" applyFill="1" applyBorder="1" applyAlignment="1">
      <alignment horizontal="right" vertical="center"/>
      <protection/>
    </xf>
    <xf numFmtId="4" fontId="5" fillId="0" borderId="10"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0" fontId="18" fillId="0" borderId="0" xfId="0" applyFont="1" applyAlignment="1">
      <alignment/>
    </xf>
    <xf numFmtId="3" fontId="7" fillId="0" borderId="10" xfId="0" applyNumberFormat="1" applyFont="1" applyFill="1" applyBorder="1" applyAlignment="1">
      <alignment horizontal="right" vertical="center" wrapText="1"/>
    </xf>
    <xf numFmtId="3" fontId="5" fillId="0" borderId="10" xfId="0" applyNumberFormat="1" applyFont="1" applyFill="1" applyBorder="1" applyAlignment="1">
      <alignment horizontal="right" vertical="center" wrapText="1"/>
    </xf>
    <xf numFmtId="0" fontId="19" fillId="0" borderId="0" xfId="58" applyFont="1" applyBorder="1" applyAlignment="1">
      <alignment vertical="center"/>
      <protection/>
    </xf>
    <xf numFmtId="0" fontId="21" fillId="0" borderId="0" xfId="58" applyFont="1" applyBorder="1">
      <alignment/>
      <protection/>
    </xf>
    <xf numFmtId="4" fontId="28" fillId="0" borderId="10" xfId="62" applyNumberFormat="1" applyFont="1" applyFill="1" applyBorder="1" applyAlignment="1">
      <alignment horizontal="right" vertical="center"/>
      <protection/>
    </xf>
    <xf numFmtId="0" fontId="28" fillId="0" borderId="10" xfId="62" applyFont="1" applyFill="1" applyBorder="1" applyAlignment="1">
      <alignment vertical="center"/>
      <protection/>
    </xf>
    <xf numFmtId="4" fontId="28" fillId="0" borderId="10" xfId="62" applyNumberFormat="1" applyFont="1" applyFill="1" applyBorder="1" applyAlignment="1">
      <alignment vertical="center"/>
      <protection/>
    </xf>
    <xf numFmtId="4" fontId="28" fillId="0" borderId="10" xfId="62" applyNumberFormat="1" applyFont="1" applyFill="1" applyBorder="1" applyAlignment="1">
      <alignment horizontal="center" vertical="center"/>
      <protection/>
    </xf>
    <xf numFmtId="0" fontId="34" fillId="0" borderId="0" xfId="0" applyFont="1" applyAlignment="1">
      <alignment/>
    </xf>
    <xf numFmtId="0" fontId="33" fillId="0" borderId="0" xfId="0" applyFont="1" applyAlignment="1">
      <alignment/>
    </xf>
    <xf numFmtId="0" fontId="31" fillId="0" borderId="0" xfId="0" applyFont="1" applyAlignment="1">
      <alignment/>
    </xf>
    <xf numFmtId="0" fontId="35" fillId="0" borderId="0" xfId="0" applyFont="1" applyAlignment="1">
      <alignment/>
    </xf>
    <xf numFmtId="0" fontId="32" fillId="0" borderId="0" xfId="0" applyFont="1" applyAlignment="1">
      <alignment/>
    </xf>
    <xf numFmtId="0" fontId="36" fillId="0" borderId="0" xfId="0" applyFont="1" applyAlignment="1">
      <alignment/>
    </xf>
    <xf numFmtId="3" fontId="7" fillId="0" borderId="10" xfId="0" applyNumberFormat="1" applyFont="1" applyFill="1" applyBorder="1" applyAlignment="1">
      <alignment horizontal="center" vertical="center" wrapText="1"/>
    </xf>
    <xf numFmtId="4" fontId="19" fillId="0" borderId="10" xfId="58" applyNumberFormat="1" applyFont="1" applyBorder="1" applyAlignment="1">
      <alignment horizontal="center" vertical="center"/>
      <protection/>
    </xf>
    <xf numFmtId="0" fontId="0" fillId="0" borderId="10" xfId="0" applyBorder="1" applyAlignment="1">
      <alignment horizontal="center" vertical="center"/>
    </xf>
    <xf numFmtId="4" fontId="5" fillId="0" borderId="10" xfId="58" applyNumberFormat="1" applyFont="1" applyBorder="1" applyAlignment="1">
      <alignment horizontal="center" vertical="center"/>
      <protection/>
    </xf>
    <xf numFmtId="0" fontId="19" fillId="0" borderId="0" xfId="58" applyFont="1" applyBorder="1" applyAlignment="1">
      <alignment horizontal="center" vertical="center"/>
      <protection/>
    </xf>
    <xf numFmtId="0" fontId="0" fillId="0" borderId="0" xfId="0" applyAlignment="1">
      <alignment horizontal="center" vertical="center"/>
    </xf>
    <xf numFmtId="4" fontId="18" fillId="0" borderId="0" xfId="0" applyNumberFormat="1" applyFont="1" applyAlignment="1">
      <alignment/>
    </xf>
    <xf numFmtId="4" fontId="7" fillId="0" borderId="26" xfId="66" applyNumberFormat="1" applyFont="1" applyFill="1" applyBorder="1" applyAlignment="1">
      <alignment horizontal="center" vertical="center"/>
      <protection/>
    </xf>
    <xf numFmtId="4" fontId="7" fillId="0" borderId="26" xfId="66" applyNumberFormat="1" applyFont="1" applyFill="1" applyBorder="1" applyAlignment="1">
      <alignment horizontal="left" vertical="center"/>
      <protection/>
    </xf>
    <xf numFmtId="4" fontId="7" fillId="0" borderId="26" xfId="60" applyNumberFormat="1" applyFont="1" applyFill="1" applyBorder="1" applyAlignment="1">
      <alignment horizontal="center" vertical="center"/>
      <protection/>
    </xf>
    <xf numFmtId="4" fontId="7" fillId="32" borderId="26" xfId="60" applyNumberFormat="1" applyFont="1" applyFill="1" applyBorder="1" applyAlignment="1">
      <alignment horizontal="right" vertical="center"/>
      <protection/>
    </xf>
    <xf numFmtId="4" fontId="5" fillId="0" borderId="26" xfId="60" applyNumberFormat="1" applyFont="1" applyFill="1" applyBorder="1" applyAlignment="1">
      <alignment horizontal="right" vertical="center"/>
      <protection/>
    </xf>
    <xf numFmtId="4" fontId="7" fillId="0" borderId="26" xfId="60" applyNumberFormat="1" applyFont="1" applyFill="1" applyBorder="1" applyAlignment="1">
      <alignment horizontal="right" vertical="center" wrapText="1"/>
      <protection/>
    </xf>
    <xf numFmtId="4" fontId="5" fillId="0" borderId="26" xfId="60" applyNumberFormat="1" applyFont="1" applyFill="1" applyBorder="1" applyAlignment="1">
      <alignment horizontal="right" vertical="center" wrapText="1"/>
      <protection/>
    </xf>
    <xf numFmtId="4" fontId="6" fillId="0" borderId="18" xfId="66" applyNumberFormat="1" applyFont="1" applyFill="1" applyBorder="1" applyAlignment="1">
      <alignment horizontal="center" vertical="center"/>
      <protection/>
    </xf>
    <xf numFmtId="4" fontId="6" fillId="0" borderId="18" xfId="66" applyNumberFormat="1" applyFont="1" applyFill="1" applyBorder="1" applyAlignment="1">
      <alignment vertical="center"/>
      <protection/>
    </xf>
    <xf numFmtId="4" fontId="7" fillId="32" borderId="18" xfId="60" applyNumberFormat="1" applyFont="1" applyFill="1" applyBorder="1" applyAlignment="1">
      <alignment horizontal="right" vertical="center"/>
      <protection/>
    </xf>
    <xf numFmtId="4" fontId="7" fillId="0" borderId="18" xfId="60" applyNumberFormat="1" applyFont="1" applyFill="1" applyBorder="1" applyAlignment="1">
      <alignment horizontal="right" vertical="center" wrapText="1"/>
      <protection/>
    </xf>
    <xf numFmtId="4" fontId="5" fillId="0" borderId="18" xfId="60" applyNumberFormat="1" applyFont="1" applyFill="1" applyBorder="1" applyAlignment="1">
      <alignment horizontal="right" vertical="center" wrapText="1"/>
      <protection/>
    </xf>
    <xf numFmtId="180" fontId="7" fillId="0" borderId="25" xfId="66" applyNumberFormat="1" applyFont="1" applyFill="1" applyBorder="1" applyAlignment="1">
      <alignment horizontal="center" vertical="center"/>
      <protection/>
    </xf>
    <xf numFmtId="4" fontId="7" fillId="0" borderId="25" xfId="66" applyNumberFormat="1" applyFont="1" applyFill="1" applyBorder="1" applyAlignment="1">
      <alignment horizontal="left" vertical="center"/>
      <protection/>
    </xf>
    <xf numFmtId="4" fontId="7" fillId="0" borderId="25" xfId="60" applyNumberFormat="1" applyFont="1" applyFill="1" applyBorder="1" applyAlignment="1">
      <alignment horizontal="center" vertical="center"/>
      <protection/>
    </xf>
    <xf numFmtId="4" fontId="7" fillId="32" borderId="25" xfId="60" applyNumberFormat="1" applyFont="1" applyFill="1" applyBorder="1" applyAlignment="1">
      <alignment horizontal="right" vertical="center"/>
      <protection/>
    </xf>
    <xf numFmtId="4" fontId="5" fillId="0" borderId="25" xfId="60" applyNumberFormat="1" applyFont="1" applyFill="1" applyBorder="1" applyAlignment="1">
      <alignment horizontal="right" vertical="center"/>
      <protection/>
    </xf>
    <xf numFmtId="4" fontId="7" fillId="0" borderId="25" xfId="60" applyNumberFormat="1" applyFont="1" applyFill="1" applyBorder="1" applyAlignment="1">
      <alignment horizontal="right" vertical="center" wrapText="1"/>
      <protection/>
    </xf>
    <xf numFmtId="4" fontId="5" fillId="0" borderId="25" xfId="60" applyNumberFormat="1" applyFont="1" applyFill="1" applyBorder="1" applyAlignment="1">
      <alignment horizontal="right" vertical="center" wrapText="1"/>
      <protection/>
    </xf>
    <xf numFmtId="4" fontId="7" fillId="0" borderId="25" xfId="66" applyNumberFormat="1" applyFont="1" applyFill="1" applyBorder="1" applyAlignment="1">
      <alignment horizontal="center" vertical="center"/>
      <protection/>
    </xf>
    <xf numFmtId="4" fontId="7" fillId="0" borderId="25" xfId="66" applyNumberFormat="1" applyFont="1" applyFill="1" applyBorder="1" applyAlignment="1">
      <alignment horizontal="justify" vertical="center" wrapText="1"/>
      <protection/>
    </xf>
    <xf numFmtId="4" fontId="7" fillId="0" borderId="25" xfId="66" applyNumberFormat="1" applyFont="1" applyFill="1" applyBorder="1" applyAlignment="1">
      <alignment horizontal="center" vertical="center" wrapText="1"/>
      <protection/>
    </xf>
    <xf numFmtId="4" fontId="8" fillId="0" borderId="10" xfId="0" applyNumberFormat="1" applyFont="1" applyFill="1" applyBorder="1" applyAlignment="1">
      <alignment horizontal="center" vertical="center" wrapText="1"/>
    </xf>
    <xf numFmtId="0" fontId="21" fillId="0" borderId="10" xfId="58" applyFont="1" applyBorder="1" applyAlignment="1">
      <alignment horizontal="left" vertical="center" wrapText="1"/>
      <protection/>
    </xf>
    <xf numFmtId="4" fontId="33" fillId="0" borderId="0" xfId="0" applyNumberFormat="1" applyFont="1" applyAlignment="1">
      <alignment/>
    </xf>
    <xf numFmtId="4" fontId="5" fillId="0" borderId="16" xfId="60" applyNumberFormat="1" applyFont="1" applyFill="1" applyBorder="1" applyAlignment="1">
      <alignment horizontal="right" vertical="center"/>
      <protection/>
    </xf>
    <xf numFmtId="4" fontId="28" fillId="0" borderId="18" xfId="60" applyNumberFormat="1" applyFont="1" applyFill="1" applyBorder="1" applyAlignment="1">
      <alignment horizontal="right" vertical="center"/>
      <protection/>
    </xf>
    <xf numFmtId="4" fontId="37" fillId="0" borderId="0" xfId="0" applyNumberFormat="1" applyFont="1" applyAlignment="1">
      <alignment/>
    </xf>
    <xf numFmtId="4" fontId="35" fillId="0" borderId="0" xfId="0" applyNumberFormat="1" applyFont="1" applyAlignment="1">
      <alignment/>
    </xf>
    <xf numFmtId="4" fontId="18" fillId="0" borderId="0" xfId="0" applyNumberFormat="1" applyFont="1" applyAlignment="1">
      <alignment/>
    </xf>
    <xf numFmtId="0" fontId="0" fillId="0" borderId="0" xfId="0" applyFill="1" applyAlignment="1">
      <alignment/>
    </xf>
    <xf numFmtId="0" fontId="0" fillId="34" borderId="0" xfId="0" applyFill="1" applyAlignment="1">
      <alignment/>
    </xf>
    <xf numFmtId="0" fontId="38" fillId="0" borderId="0" xfId="0" applyFont="1" applyAlignment="1">
      <alignment/>
    </xf>
    <xf numFmtId="0" fontId="35" fillId="0" borderId="0" xfId="0" applyFont="1" applyFill="1" applyAlignment="1">
      <alignment/>
    </xf>
    <xf numFmtId="0" fontId="35" fillId="0" borderId="0" xfId="0" applyFont="1" applyFill="1" applyBorder="1" applyAlignment="1">
      <alignment/>
    </xf>
    <xf numFmtId="4" fontId="35" fillId="0" borderId="0" xfId="0" applyNumberFormat="1" applyFont="1" applyFill="1" applyAlignment="1">
      <alignment/>
    </xf>
    <xf numFmtId="0" fontId="39" fillId="0" borderId="0" xfId="0" applyFont="1" applyFill="1" applyAlignment="1">
      <alignment/>
    </xf>
    <xf numFmtId="4" fontId="39" fillId="0" borderId="0" xfId="0" applyNumberFormat="1" applyFont="1" applyFill="1" applyAlignment="1">
      <alignment/>
    </xf>
    <xf numFmtId="0" fontId="5" fillId="0" borderId="0" xfId="60" applyFont="1" applyFill="1" applyBorder="1" applyAlignment="1">
      <alignment horizontal="center" vertical="center"/>
      <protection/>
    </xf>
    <xf numFmtId="0" fontId="5" fillId="0" borderId="0" xfId="61" applyFont="1" applyFill="1" applyBorder="1" applyAlignment="1">
      <alignment horizontal="center" vertical="center" wrapText="1"/>
      <protection/>
    </xf>
    <xf numFmtId="4" fontId="5" fillId="0" borderId="0" xfId="60" applyNumberFormat="1" applyFont="1" applyFill="1" applyBorder="1" applyAlignment="1">
      <alignment horizontal="right" vertical="center"/>
      <protection/>
    </xf>
    <xf numFmtId="4" fontId="5" fillId="0" borderId="0" xfId="60" applyNumberFormat="1" applyFont="1" applyFill="1" applyBorder="1" applyAlignment="1">
      <alignment horizontal="right" vertical="center" wrapText="1"/>
      <protection/>
    </xf>
    <xf numFmtId="4" fontId="7" fillId="0" borderId="0" xfId="59" applyNumberFormat="1" applyFont="1" applyFill="1" applyBorder="1" applyAlignment="1">
      <alignment horizontal="center" vertical="center"/>
      <protection/>
    </xf>
    <xf numFmtId="4" fontId="6" fillId="0" borderId="0" xfId="59" applyNumberFormat="1" applyFont="1" applyFill="1" applyBorder="1" applyAlignment="1">
      <alignment horizontal="center" vertical="center"/>
      <protection/>
    </xf>
    <xf numFmtId="0" fontId="5" fillId="0" borderId="10" xfId="62" applyFont="1" applyFill="1" applyBorder="1" applyAlignment="1">
      <alignment horizontal="center" vertical="center" wrapText="1"/>
      <protection/>
    </xf>
    <xf numFmtId="0" fontId="5" fillId="0" borderId="10" xfId="62" applyFont="1" applyFill="1" applyBorder="1" applyAlignment="1">
      <alignment horizontal="center" vertical="center"/>
      <protection/>
    </xf>
    <xf numFmtId="0" fontId="5" fillId="0" borderId="10" xfId="62" applyNumberFormat="1" applyFont="1" applyFill="1" applyBorder="1" applyAlignment="1">
      <alignment horizontal="center" vertical="center" wrapText="1"/>
      <protection/>
    </xf>
    <xf numFmtId="0" fontId="5" fillId="0" borderId="10" xfId="63" applyFont="1" applyFill="1" applyBorder="1" applyAlignment="1">
      <alignment horizontal="center" vertical="center" wrapText="1"/>
      <protection/>
    </xf>
    <xf numFmtId="0" fontId="19" fillId="0" borderId="10" xfId="58" applyFont="1" applyBorder="1" applyAlignment="1">
      <alignment horizontal="left" vertical="center"/>
      <protection/>
    </xf>
    <xf numFmtId="4" fontId="5" fillId="0" borderId="10" xfId="62" applyNumberFormat="1" applyFont="1" applyFill="1" applyBorder="1" applyAlignment="1">
      <alignment horizontal="center" vertical="center" wrapText="1"/>
      <protection/>
    </xf>
    <xf numFmtId="4" fontId="5" fillId="0" borderId="0" xfId="0" applyNumberFormat="1" applyFont="1" applyFill="1" applyBorder="1" applyAlignment="1">
      <alignment horizontal="left" vertical="center" wrapText="1"/>
    </xf>
    <xf numFmtId="4" fontId="6" fillId="0" borderId="0" xfId="0" applyNumberFormat="1" applyFont="1" applyFill="1" applyBorder="1" applyAlignment="1">
      <alignment horizontal="right" vertical="center" wrapText="1"/>
    </xf>
    <xf numFmtId="4" fontId="29" fillId="0" borderId="0" xfId="0" applyNumberFormat="1" applyFont="1" applyFill="1" applyBorder="1" applyAlignment="1" applyProtection="1">
      <alignment horizontal="center" vertical="center" wrapText="1"/>
      <protection/>
    </xf>
    <xf numFmtId="4" fontId="9" fillId="0" borderId="0" xfId="0" applyNumberFormat="1" applyFont="1" applyFill="1" applyBorder="1" applyAlignment="1" applyProtection="1">
      <alignment horizontal="right" vertical="center" wrapText="1"/>
      <protection/>
    </xf>
    <xf numFmtId="0" fontId="8" fillId="0"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 fontId="29" fillId="0" borderId="0" xfId="0" applyNumberFormat="1" applyFont="1" applyFill="1" applyAlignment="1">
      <alignment horizontal="center" wrapText="1"/>
    </xf>
    <xf numFmtId="4" fontId="29" fillId="0" borderId="0" xfId="0" applyNumberFormat="1" applyFont="1" applyFill="1" applyAlignment="1">
      <alignment horizontal="center"/>
    </xf>
    <xf numFmtId="0"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30" fillId="0" borderId="29" xfId="0" applyNumberFormat="1" applyFont="1" applyFill="1" applyBorder="1" applyAlignment="1">
      <alignment horizontal="center" wrapText="1"/>
    </xf>
    <xf numFmtId="4" fontId="8" fillId="0" borderId="0" xfId="0" applyNumberFormat="1" applyFont="1" applyFill="1" applyBorder="1" applyAlignment="1">
      <alignment horizontal="left" vertical="center" wrapText="1"/>
    </xf>
    <xf numFmtId="4" fontId="29" fillId="0" borderId="0" xfId="0" applyNumberFormat="1" applyFont="1" applyFill="1" applyBorder="1" applyAlignment="1">
      <alignment horizontal="center" vertical="center" wrapText="1"/>
    </xf>
    <xf numFmtId="4" fontId="6" fillId="0" borderId="0" xfId="57" applyNumberFormat="1" applyFont="1" applyFill="1" applyBorder="1" applyAlignment="1">
      <alignment horizontal="right" vertical="center" wrapText="1"/>
      <protection/>
    </xf>
    <xf numFmtId="4" fontId="30" fillId="0" borderId="0" xfId="0" applyNumberFormat="1" applyFont="1" applyFill="1" applyBorder="1" applyAlignment="1">
      <alignment horizontal="center" vertical="center" wrapText="1"/>
    </xf>
    <xf numFmtId="4" fontId="29" fillId="0" borderId="0" xfId="57" applyNumberFormat="1" applyFont="1" applyFill="1" applyBorder="1" applyAlignment="1">
      <alignment horizontal="center" vertical="center" wrapText="1"/>
      <protection/>
    </xf>
    <xf numFmtId="4" fontId="30" fillId="0" borderId="0" xfId="57" applyNumberFormat="1" applyFont="1" applyFill="1" applyBorder="1" applyAlignment="1">
      <alignment horizontal="center" vertical="center" wrapText="1"/>
      <protection/>
    </xf>
    <xf numFmtId="4" fontId="6" fillId="0" borderId="29" xfId="57" applyNumberFormat="1" applyFont="1" applyFill="1" applyBorder="1" applyAlignment="1">
      <alignment horizontal="right" vertical="center" wrapText="1"/>
      <protection/>
    </xf>
    <xf numFmtId="4" fontId="5" fillId="0" borderId="10" xfId="60" applyNumberFormat="1" applyFont="1" applyFill="1" applyBorder="1" applyAlignment="1">
      <alignment horizontal="center" vertical="center" wrapText="1"/>
      <protection/>
    </xf>
    <xf numFmtId="0" fontId="11" fillId="0" borderId="0" xfId="60" applyFont="1" applyFill="1" applyBorder="1" applyAlignment="1">
      <alignment horizontal="left" vertical="center"/>
      <protection/>
    </xf>
    <xf numFmtId="0" fontId="5" fillId="0" borderId="10" xfId="60" applyFont="1" applyFill="1" applyBorder="1" applyAlignment="1">
      <alignment horizontal="center" vertical="center" wrapText="1"/>
      <protection/>
    </xf>
    <xf numFmtId="0" fontId="5" fillId="0" borderId="10" xfId="60" applyFont="1" applyFill="1" applyBorder="1" applyAlignment="1">
      <alignment horizontal="center" vertical="center"/>
      <protection/>
    </xf>
    <xf numFmtId="4" fontId="11" fillId="0" borderId="10" xfId="60" applyNumberFormat="1" applyFont="1" applyFill="1" applyBorder="1" applyAlignment="1">
      <alignment horizontal="center" vertical="center" wrapText="1"/>
      <protection/>
    </xf>
    <xf numFmtId="49" fontId="29" fillId="0" borderId="0" xfId="60" applyNumberFormat="1" applyFont="1" applyFill="1" applyBorder="1" applyAlignment="1">
      <alignment horizontal="center" vertical="center" wrapText="1"/>
      <protection/>
    </xf>
    <xf numFmtId="4" fontId="15" fillId="0" borderId="10" xfId="65" applyNumberFormat="1" applyFont="1" applyFill="1" applyBorder="1" applyAlignment="1">
      <alignment horizontal="center" vertical="center" wrapText="1"/>
      <protection/>
    </xf>
    <xf numFmtId="1" fontId="15" fillId="0" borderId="11" xfId="65" applyNumberFormat="1" applyFont="1" applyFill="1" applyBorder="1" applyAlignment="1">
      <alignment horizontal="center" vertical="center" wrapText="1"/>
      <protection/>
    </xf>
    <xf numFmtId="1" fontId="15" fillId="0" borderId="13" xfId="65" applyNumberFormat="1" applyFont="1" applyFill="1" applyBorder="1" applyAlignment="1">
      <alignment horizontal="center" vertical="center" wrapText="1"/>
      <protection/>
    </xf>
    <xf numFmtId="0" fontId="15" fillId="0" borderId="10" xfId="65" applyFont="1" applyFill="1" applyBorder="1" applyAlignment="1">
      <alignment horizontal="center" vertical="center"/>
      <protection/>
    </xf>
    <xf numFmtId="1" fontId="15" fillId="0" borderId="10" xfId="65" applyNumberFormat="1" applyFont="1" applyFill="1" applyBorder="1" applyAlignment="1">
      <alignment horizontal="center" vertical="center" wrapText="1"/>
      <protection/>
    </xf>
    <xf numFmtId="0" fontId="26" fillId="0" borderId="30"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21" fillId="0" borderId="33" xfId="0" applyFont="1" applyBorder="1" applyAlignment="1">
      <alignment vertical="center" wrapText="1"/>
    </xf>
    <xf numFmtId="0" fontId="26" fillId="0" borderId="24" xfId="0" applyFont="1" applyBorder="1" applyAlignment="1">
      <alignment horizontal="center" vertical="center"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_Bieen dong04HT-QH" xfId="59"/>
    <cellStyle name="Normal_Bieen dong04HT-QH_KH BSon (17-10-2015)lay gtri" xfId="60"/>
    <cellStyle name="Normal_BIEU-CC1" xfId="61"/>
    <cellStyle name="Normal_KH BSon (17-10-2015)lay gtri" xfId="62"/>
    <cellStyle name="Normal_Phu bieu cc36" xfId="63"/>
    <cellStyle name="Normal_QHMau" xfId="64"/>
    <cellStyle name="Normal_Thu Chi Dat_Thu chi" xfId="65"/>
    <cellStyle name="Normal_TT.GR HT-QH "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T100"/>
  <sheetViews>
    <sheetView showZeros="0" zoomScale="70" zoomScaleNormal="70" zoomScalePageLayoutView="0" workbookViewId="0" topLeftCell="A1">
      <pane ySplit="4" topLeftCell="A5" activePane="bottomLeft" state="frozen"/>
      <selection pane="topLeft" activeCell="A1" sqref="A1"/>
      <selection pane="bottomLeft" activeCell="A1" sqref="A1:B1"/>
    </sheetView>
  </sheetViews>
  <sheetFormatPr defaultColWidth="9.140625" defaultRowHeight="15"/>
  <cols>
    <col min="2" max="2" width="69.57421875" style="0" customWidth="1"/>
    <col min="3" max="3" width="15.421875" style="0" customWidth="1"/>
    <col min="4" max="4" width="10.140625" style="0" customWidth="1"/>
    <col min="5" max="5" width="11.8515625" style="0" customWidth="1"/>
    <col min="8" max="8" width="12.00390625" style="0" customWidth="1"/>
    <col min="15" max="15" width="9.28125" style="0" customWidth="1"/>
    <col min="16" max="16" width="18.421875" style="218" customWidth="1"/>
    <col min="17" max="17" width="11.00390625" style="0" customWidth="1"/>
    <col min="18" max="18" width="12.8515625" style="0" customWidth="1"/>
    <col min="19" max="19" width="11.421875" style="0" customWidth="1"/>
  </cols>
  <sheetData>
    <row r="1" spans="1:7" ht="15">
      <c r="A1" s="278" t="s">
        <v>80</v>
      </c>
      <c r="B1" s="278"/>
      <c r="C1" s="159"/>
      <c r="D1" s="159"/>
      <c r="E1" s="159"/>
      <c r="F1" s="159"/>
      <c r="G1" s="159"/>
    </row>
    <row r="2" spans="18:19" ht="15">
      <c r="R2" s="279" t="s">
        <v>81</v>
      </c>
      <c r="S2" s="279"/>
    </row>
    <row r="3" spans="1:20" ht="17.25" customHeight="1">
      <c r="A3" s="274" t="s">
        <v>0</v>
      </c>
      <c r="B3" s="275" t="s">
        <v>287</v>
      </c>
      <c r="C3" s="275" t="s">
        <v>58</v>
      </c>
      <c r="D3" s="275" t="s">
        <v>1</v>
      </c>
      <c r="E3" s="277" t="s">
        <v>2</v>
      </c>
      <c r="F3" s="277" t="s">
        <v>219</v>
      </c>
      <c r="G3" s="277"/>
      <c r="H3" s="277"/>
      <c r="I3" s="277"/>
      <c r="J3" s="277"/>
      <c r="K3" s="277"/>
      <c r="L3" s="277"/>
      <c r="M3" s="277"/>
      <c r="N3" s="277"/>
      <c r="O3" s="277"/>
      <c r="P3" s="272" t="s">
        <v>3</v>
      </c>
      <c r="Q3" s="272" t="s">
        <v>4</v>
      </c>
      <c r="R3" s="272" t="s">
        <v>5</v>
      </c>
      <c r="S3" s="272" t="s">
        <v>57</v>
      </c>
      <c r="T3" s="14"/>
    </row>
    <row r="4" spans="1:20" ht="54" customHeight="1">
      <c r="A4" s="274"/>
      <c r="B4" s="275"/>
      <c r="C4" s="275"/>
      <c r="D4" s="275"/>
      <c r="E4" s="277"/>
      <c r="F4" s="13" t="s">
        <v>6</v>
      </c>
      <c r="G4" s="13" t="s">
        <v>260</v>
      </c>
      <c r="H4" s="15" t="s">
        <v>7</v>
      </c>
      <c r="I4" s="15" t="s">
        <v>8</v>
      </c>
      <c r="J4" s="16" t="s">
        <v>9</v>
      </c>
      <c r="K4" s="16" t="s">
        <v>120</v>
      </c>
      <c r="L4" s="17" t="s">
        <v>18</v>
      </c>
      <c r="M4" s="17" t="s">
        <v>17</v>
      </c>
      <c r="N4" s="17" t="s">
        <v>22</v>
      </c>
      <c r="O4" s="16" t="s">
        <v>23</v>
      </c>
      <c r="P4" s="273"/>
      <c r="Q4" s="273"/>
      <c r="R4" s="273"/>
      <c r="S4" s="273"/>
      <c r="T4" s="14"/>
    </row>
    <row r="5" spans="1:20" s="193" customFormat="1" ht="17.25" customHeight="1">
      <c r="A5" s="156"/>
      <c r="B5" s="190" t="s">
        <v>77</v>
      </c>
      <c r="C5" s="191"/>
      <c r="D5" s="3">
        <f>SUM(D6,D36,D41)</f>
        <v>822.53</v>
      </c>
      <c r="E5" s="3">
        <f>SUM(E6,E36,E41)</f>
        <v>823.0600000000001</v>
      </c>
      <c r="F5" s="3">
        <f aca="true" t="shared" si="0" ref="F5:N5">SUM(F6,F36,F41)</f>
        <v>2.2</v>
      </c>
      <c r="G5" s="3">
        <f t="shared" si="0"/>
        <v>2.2</v>
      </c>
      <c r="H5" s="3">
        <f>SUM(H6,H36,H41)</f>
        <v>707.22</v>
      </c>
      <c r="I5" s="3">
        <f t="shared" si="0"/>
        <v>21.12</v>
      </c>
      <c r="J5" s="3">
        <f t="shared" si="0"/>
        <v>48</v>
      </c>
      <c r="K5" s="3">
        <f t="shared" si="0"/>
        <v>2.54</v>
      </c>
      <c r="L5" s="3">
        <f t="shared" si="0"/>
        <v>3</v>
      </c>
      <c r="M5" s="3">
        <f t="shared" si="0"/>
        <v>1.1</v>
      </c>
      <c r="N5" s="3">
        <f t="shared" si="0"/>
        <v>34.07</v>
      </c>
      <c r="O5" s="3"/>
      <c r="P5" s="2"/>
      <c r="Q5" s="2"/>
      <c r="R5" s="2"/>
      <c r="S5" s="2"/>
      <c r="T5" s="192"/>
    </row>
    <row r="6" spans="1:20" ht="81" customHeight="1">
      <c r="A6" s="5" t="s">
        <v>61</v>
      </c>
      <c r="B6" s="10" t="s">
        <v>62</v>
      </c>
      <c r="C6" s="1"/>
      <c r="D6" s="6">
        <f>D7+D9+D17+D19+D22+D26+D31+D35</f>
        <v>70.97999999999999</v>
      </c>
      <c r="E6" s="6">
        <f aca="true" t="shared" si="1" ref="E6:O6">E7+E9+E17+E19+E22+E26+E31+E35</f>
        <v>70.97999999999999</v>
      </c>
      <c r="F6" s="6">
        <f t="shared" si="1"/>
        <v>2.2</v>
      </c>
      <c r="G6" s="6">
        <f t="shared" si="1"/>
        <v>0</v>
      </c>
      <c r="H6" s="6">
        <f>H7+H9+H17+H19+H22+H26+H31+H35</f>
        <v>48.46000000000001</v>
      </c>
      <c r="I6" s="6">
        <f t="shared" si="1"/>
        <v>17.16</v>
      </c>
      <c r="J6" s="6">
        <f t="shared" si="1"/>
        <v>0</v>
      </c>
      <c r="K6" s="6">
        <f t="shared" si="1"/>
        <v>2</v>
      </c>
      <c r="L6" s="6">
        <f t="shared" si="1"/>
        <v>0</v>
      </c>
      <c r="M6" s="6">
        <f t="shared" si="1"/>
        <v>0.1</v>
      </c>
      <c r="N6" s="6">
        <f t="shared" si="1"/>
        <v>0</v>
      </c>
      <c r="O6" s="6">
        <f t="shared" si="1"/>
        <v>0</v>
      </c>
      <c r="P6" s="2"/>
      <c r="Q6" s="2"/>
      <c r="R6" s="2"/>
      <c r="S6" s="2"/>
      <c r="T6" s="14"/>
    </row>
    <row r="7" spans="1:20" ht="26.25" customHeight="1">
      <c r="A7" s="5" t="s">
        <v>11</v>
      </c>
      <c r="B7" s="18" t="s">
        <v>24</v>
      </c>
      <c r="C7" s="3">
        <v>0</v>
      </c>
      <c r="D7" s="3">
        <v>30</v>
      </c>
      <c r="E7" s="3">
        <v>30</v>
      </c>
      <c r="F7" s="3">
        <v>2.2</v>
      </c>
      <c r="G7" s="3"/>
      <c r="H7" s="3">
        <v>23.8</v>
      </c>
      <c r="I7" s="3">
        <v>2</v>
      </c>
      <c r="J7" s="3">
        <v>0</v>
      </c>
      <c r="K7" s="3">
        <v>2</v>
      </c>
      <c r="L7" s="3">
        <v>0</v>
      </c>
      <c r="M7" s="3"/>
      <c r="N7" s="3"/>
      <c r="O7" s="3">
        <v>0</v>
      </c>
      <c r="P7" s="2"/>
      <c r="Q7" s="19"/>
      <c r="R7" s="3"/>
      <c r="S7" s="20">
        <v>0</v>
      </c>
      <c r="T7" s="14"/>
    </row>
    <row r="8" spans="1:20" ht="53.25" customHeight="1">
      <c r="A8" s="21">
        <v>1</v>
      </c>
      <c r="B8" s="22" t="s">
        <v>25</v>
      </c>
      <c r="C8" s="23" t="s">
        <v>59</v>
      </c>
      <c r="D8" s="12">
        <v>30</v>
      </c>
      <c r="E8" s="12">
        <v>30</v>
      </c>
      <c r="F8" s="12">
        <v>2.2</v>
      </c>
      <c r="G8" s="12"/>
      <c r="H8" s="12">
        <v>23.8</v>
      </c>
      <c r="I8" s="12">
        <v>2</v>
      </c>
      <c r="J8" s="12">
        <v>0</v>
      </c>
      <c r="K8" s="12">
        <v>2</v>
      </c>
      <c r="L8" s="12">
        <v>0</v>
      </c>
      <c r="M8" s="12"/>
      <c r="N8" s="12"/>
      <c r="O8" s="12">
        <v>0</v>
      </c>
      <c r="P8" s="23" t="s">
        <v>328</v>
      </c>
      <c r="Q8" s="24">
        <v>0</v>
      </c>
      <c r="R8" s="24">
        <v>0</v>
      </c>
      <c r="S8" s="23" t="s">
        <v>296</v>
      </c>
      <c r="T8" s="14"/>
    </row>
    <row r="9" spans="1:20" ht="31.5" customHeight="1">
      <c r="A9" s="5" t="s">
        <v>13</v>
      </c>
      <c r="B9" s="18" t="s">
        <v>27</v>
      </c>
      <c r="C9" s="23">
        <v>0</v>
      </c>
      <c r="D9" s="3">
        <f>SUM(D10:D16)</f>
        <v>18.979999999999997</v>
      </c>
      <c r="E9" s="3">
        <f aca="true" t="shared" si="2" ref="E9:O9">SUM(E10:E16)</f>
        <v>18.979999999999997</v>
      </c>
      <c r="F9" s="3">
        <f t="shared" si="2"/>
        <v>0</v>
      </c>
      <c r="G9" s="3"/>
      <c r="H9" s="3">
        <f t="shared" si="2"/>
        <v>8.540000000000001</v>
      </c>
      <c r="I9" s="3">
        <f t="shared" si="2"/>
        <v>9.379999999999999</v>
      </c>
      <c r="J9" s="3">
        <f t="shared" si="2"/>
        <v>0</v>
      </c>
      <c r="K9" s="3">
        <f t="shared" si="2"/>
        <v>0</v>
      </c>
      <c r="L9" s="3">
        <f t="shared" si="2"/>
        <v>0</v>
      </c>
      <c r="M9" s="3">
        <f t="shared" si="2"/>
        <v>0</v>
      </c>
      <c r="N9" s="3">
        <f t="shared" si="2"/>
        <v>0</v>
      </c>
      <c r="O9" s="3">
        <f t="shared" si="2"/>
        <v>0</v>
      </c>
      <c r="P9" s="2" t="s">
        <v>28</v>
      </c>
      <c r="Q9" s="19" t="s">
        <v>28</v>
      </c>
      <c r="R9" s="3"/>
      <c r="S9" s="20">
        <v>0</v>
      </c>
      <c r="T9" s="14"/>
    </row>
    <row r="10" spans="1:20" s="154" customFormat="1" ht="56.25" customHeight="1">
      <c r="A10" s="150">
        <v>2</v>
      </c>
      <c r="B10" s="148" t="s">
        <v>222</v>
      </c>
      <c r="C10" s="23" t="s">
        <v>32</v>
      </c>
      <c r="D10" s="12">
        <v>4</v>
      </c>
      <c r="E10" s="12">
        <v>4</v>
      </c>
      <c r="F10" s="12"/>
      <c r="G10" s="12"/>
      <c r="H10" s="12">
        <v>1</v>
      </c>
      <c r="I10" s="12">
        <v>3</v>
      </c>
      <c r="J10" s="12"/>
      <c r="K10" s="12"/>
      <c r="L10" s="12"/>
      <c r="M10" s="12"/>
      <c r="N10" s="12"/>
      <c r="O10" s="12"/>
      <c r="P10" s="23" t="s">
        <v>327</v>
      </c>
      <c r="Q10" s="152"/>
      <c r="R10" s="12"/>
      <c r="S10" s="153"/>
      <c r="T10" s="14"/>
    </row>
    <row r="11" spans="1:20" s="154" customFormat="1" ht="55.5" customHeight="1">
      <c r="A11" s="150">
        <v>3</v>
      </c>
      <c r="B11" s="148" t="s">
        <v>223</v>
      </c>
      <c r="C11" s="23" t="s">
        <v>78</v>
      </c>
      <c r="D11" s="12">
        <v>2.5</v>
      </c>
      <c r="E11" s="12">
        <v>2.5</v>
      </c>
      <c r="F11" s="12"/>
      <c r="G11" s="12"/>
      <c r="H11" s="12">
        <v>0.5</v>
      </c>
      <c r="I11" s="12">
        <v>2</v>
      </c>
      <c r="J11" s="12"/>
      <c r="K11" s="12"/>
      <c r="L11" s="12"/>
      <c r="M11" s="12"/>
      <c r="N11" s="12"/>
      <c r="O11" s="12"/>
      <c r="P11" s="23" t="s">
        <v>327</v>
      </c>
      <c r="Q11" s="152"/>
      <c r="R11" s="12"/>
      <c r="S11" s="153"/>
      <c r="T11" s="14"/>
    </row>
    <row r="12" spans="1:20" s="218" customFormat="1" ht="69" customHeight="1">
      <c r="A12" s="150">
        <v>4</v>
      </c>
      <c r="B12" s="148" t="s">
        <v>323</v>
      </c>
      <c r="C12" s="23" t="s">
        <v>26</v>
      </c>
      <c r="D12" s="12">
        <v>0.38</v>
      </c>
      <c r="E12" s="12">
        <v>0.38</v>
      </c>
      <c r="F12" s="12"/>
      <c r="G12" s="12"/>
      <c r="H12" s="12"/>
      <c r="I12" s="12">
        <v>0.38</v>
      </c>
      <c r="J12" s="12"/>
      <c r="K12" s="12"/>
      <c r="L12" s="12"/>
      <c r="M12" s="12"/>
      <c r="N12" s="12"/>
      <c r="O12" s="12"/>
      <c r="P12" s="23" t="s">
        <v>324</v>
      </c>
      <c r="Q12" s="152"/>
      <c r="R12" s="12"/>
      <c r="S12" s="153"/>
      <c r="T12" s="217"/>
    </row>
    <row r="13" spans="1:20" s="154" customFormat="1" ht="57" customHeight="1">
      <c r="A13" s="150">
        <v>5</v>
      </c>
      <c r="B13" s="148" t="s">
        <v>224</v>
      </c>
      <c r="C13" s="23" t="s">
        <v>78</v>
      </c>
      <c r="D13" s="12">
        <v>2.7</v>
      </c>
      <c r="E13" s="12">
        <v>2.7</v>
      </c>
      <c r="F13" s="12"/>
      <c r="G13" s="12"/>
      <c r="H13" s="12">
        <v>0.7</v>
      </c>
      <c r="I13" s="12">
        <v>2</v>
      </c>
      <c r="J13" s="12"/>
      <c r="K13" s="12"/>
      <c r="L13" s="12"/>
      <c r="M13" s="12"/>
      <c r="N13" s="12"/>
      <c r="O13" s="12"/>
      <c r="P13" s="23" t="s">
        <v>327</v>
      </c>
      <c r="Q13" s="152"/>
      <c r="R13" s="12"/>
      <c r="S13" s="153"/>
      <c r="T13" s="14"/>
    </row>
    <row r="14" spans="1:20" s="154" customFormat="1" ht="57.75" customHeight="1">
      <c r="A14" s="150">
        <v>6</v>
      </c>
      <c r="B14" s="148" t="s">
        <v>225</v>
      </c>
      <c r="C14" s="23" t="s">
        <v>33</v>
      </c>
      <c r="D14" s="12">
        <v>0.2</v>
      </c>
      <c r="E14" s="12">
        <v>0.2</v>
      </c>
      <c r="F14" s="12"/>
      <c r="G14" s="12"/>
      <c r="H14" s="12">
        <v>0.2</v>
      </c>
      <c r="I14" s="12"/>
      <c r="J14" s="12"/>
      <c r="K14" s="12"/>
      <c r="L14" s="12"/>
      <c r="M14" s="12"/>
      <c r="N14" s="12"/>
      <c r="O14" s="12"/>
      <c r="P14" s="23" t="s">
        <v>327</v>
      </c>
      <c r="Q14" s="152"/>
      <c r="R14" s="12"/>
      <c r="S14" s="153"/>
      <c r="T14" s="187"/>
    </row>
    <row r="15" spans="1:20" s="154" customFormat="1" ht="55.5" customHeight="1">
      <c r="A15" s="150">
        <v>7</v>
      </c>
      <c r="B15" s="148" t="s">
        <v>226</v>
      </c>
      <c r="C15" s="23" t="s">
        <v>33</v>
      </c>
      <c r="D15" s="12">
        <v>0.2</v>
      </c>
      <c r="E15" s="12">
        <v>0.2</v>
      </c>
      <c r="F15" s="12"/>
      <c r="G15" s="12"/>
      <c r="H15" s="12">
        <v>0.2</v>
      </c>
      <c r="I15" s="12"/>
      <c r="J15" s="12"/>
      <c r="K15" s="12"/>
      <c r="L15" s="12"/>
      <c r="M15" s="12" t="s">
        <v>282</v>
      </c>
      <c r="N15" s="12"/>
      <c r="O15" s="12"/>
      <c r="P15" s="23" t="s">
        <v>327</v>
      </c>
      <c r="Q15" s="152"/>
      <c r="R15" s="12"/>
      <c r="S15" s="153"/>
      <c r="T15" s="14"/>
    </row>
    <row r="16" spans="1:20" ht="57" customHeight="1">
      <c r="A16" s="150">
        <v>8</v>
      </c>
      <c r="B16" s="22" t="s">
        <v>31</v>
      </c>
      <c r="C16" s="23" t="s">
        <v>78</v>
      </c>
      <c r="D16" s="12">
        <v>9</v>
      </c>
      <c r="E16" s="12">
        <v>9</v>
      </c>
      <c r="F16" s="12">
        <v>0</v>
      </c>
      <c r="G16" s="12">
        <v>1.06</v>
      </c>
      <c r="H16" s="12">
        <v>5.94</v>
      </c>
      <c r="I16" s="12">
        <v>2</v>
      </c>
      <c r="J16" s="12"/>
      <c r="K16" s="12"/>
      <c r="L16" s="12"/>
      <c r="M16" s="12" t="s">
        <v>283</v>
      </c>
      <c r="N16" s="12">
        <v>0</v>
      </c>
      <c r="O16" s="12">
        <v>0</v>
      </c>
      <c r="P16" s="23" t="s">
        <v>328</v>
      </c>
      <c r="Q16" s="24">
        <v>0</v>
      </c>
      <c r="R16" s="24">
        <v>0</v>
      </c>
      <c r="S16" s="23" t="s">
        <v>221</v>
      </c>
      <c r="T16" s="14"/>
    </row>
    <row r="17" spans="1:20" ht="31.5" customHeight="1">
      <c r="A17" s="5" t="s">
        <v>14</v>
      </c>
      <c r="B17" s="18" t="s">
        <v>35</v>
      </c>
      <c r="C17" s="23">
        <v>0</v>
      </c>
      <c r="D17" s="3">
        <v>3.39</v>
      </c>
      <c r="E17" s="3">
        <v>3.39</v>
      </c>
      <c r="F17" s="3">
        <v>0</v>
      </c>
      <c r="G17" s="3"/>
      <c r="H17" s="3">
        <v>1.88</v>
      </c>
      <c r="I17" s="3">
        <v>1.51</v>
      </c>
      <c r="J17" s="3">
        <v>0</v>
      </c>
      <c r="K17" s="3"/>
      <c r="L17" s="3">
        <v>0</v>
      </c>
      <c r="M17" s="3"/>
      <c r="N17" s="3">
        <v>0</v>
      </c>
      <c r="O17" s="3">
        <v>0</v>
      </c>
      <c r="P17" s="2"/>
      <c r="Q17" s="19" t="s">
        <v>28</v>
      </c>
      <c r="R17" s="3"/>
      <c r="S17" s="20">
        <v>0</v>
      </c>
      <c r="T17" s="14"/>
    </row>
    <row r="18" spans="1:20" ht="48.75" customHeight="1">
      <c r="A18" s="21">
        <v>9</v>
      </c>
      <c r="B18" s="198" t="s">
        <v>299</v>
      </c>
      <c r="C18" s="23" t="s">
        <v>79</v>
      </c>
      <c r="D18" s="194">
        <v>0.034</v>
      </c>
      <c r="E18" s="12">
        <v>0.03</v>
      </c>
      <c r="F18" s="12">
        <v>0</v>
      </c>
      <c r="G18" s="12"/>
      <c r="H18" s="12">
        <v>0.01</v>
      </c>
      <c r="I18" s="12">
        <v>0.01</v>
      </c>
      <c r="J18" s="12">
        <v>0</v>
      </c>
      <c r="K18" s="12"/>
      <c r="L18" s="12">
        <v>0</v>
      </c>
      <c r="M18" s="12">
        <f>E18-H18-I18</f>
        <v>0.009999999999999997</v>
      </c>
      <c r="N18" s="12">
        <v>0</v>
      </c>
      <c r="O18" s="12">
        <v>0</v>
      </c>
      <c r="P18" s="23" t="s">
        <v>293</v>
      </c>
      <c r="Q18" s="24">
        <v>0</v>
      </c>
      <c r="R18" s="24">
        <v>0</v>
      </c>
      <c r="S18" s="23" t="s">
        <v>221</v>
      </c>
      <c r="T18" s="14"/>
    </row>
    <row r="19" spans="1:20" ht="31.5" customHeight="1">
      <c r="A19" s="5" t="s">
        <v>19</v>
      </c>
      <c r="B19" s="18" t="s">
        <v>38</v>
      </c>
      <c r="C19" s="23">
        <v>0</v>
      </c>
      <c r="D19" s="3">
        <f>SUM(D20:D21)</f>
        <v>5.5</v>
      </c>
      <c r="E19" s="3">
        <f aca="true" t="shared" si="3" ref="E19:M19">SUM(E20:E21)</f>
        <v>5.5</v>
      </c>
      <c r="F19" s="3">
        <f t="shared" si="3"/>
        <v>0</v>
      </c>
      <c r="G19" s="3"/>
      <c r="H19" s="3">
        <f t="shared" si="3"/>
        <v>5.5</v>
      </c>
      <c r="I19" s="3">
        <f t="shared" si="3"/>
        <v>0</v>
      </c>
      <c r="J19" s="3">
        <f t="shared" si="3"/>
        <v>0</v>
      </c>
      <c r="K19" s="3">
        <f t="shared" si="3"/>
        <v>0</v>
      </c>
      <c r="L19" s="3">
        <f t="shared" si="3"/>
        <v>0</v>
      </c>
      <c r="M19" s="3">
        <f t="shared" si="3"/>
        <v>0</v>
      </c>
      <c r="N19" s="3">
        <f>SUM(N20:N21)</f>
        <v>0</v>
      </c>
      <c r="O19" s="3">
        <f>SUM(O20:O21)</f>
        <v>0</v>
      </c>
      <c r="P19" s="2"/>
      <c r="Q19" s="19" t="s">
        <v>28</v>
      </c>
      <c r="R19" s="3"/>
      <c r="S19" s="20">
        <v>0</v>
      </c>
      <c r="T19" s="14"/>
    </row>
    <row r="20" spans="1:20" ht="51">
      <c r="A20" s="21">
        <v>10</v>
      </c>
      <c r="B20" s="22" t="s">
        <v>39</v>
      </c>
      <c r="C20" s="23" t="s">
        <v>26</v>
      </c>
      <c r="D20" s="12">
        <v>5</v>
      </c>
      <c r="E20" s="12">
        <v>5</v>
      </c>
      <c r="F20" s="12">
        <v>0</v>
      </c>
      <c r="G20" s="12"/>
      <c r="H20" s="12">
        <v>5</v>
      </c>
      <c r="I20" s="12">
        <v>0</v>
      </c>
      <c r="J20" s="12">
        <v>0</v>
      </c>
      <c r="K20" s="12"/>
      <c r="L20" s="12">
        <v>0</v>
      </c>
      <c r="M20" s="12"/>
      <c r="N20" s="12">
        <v>0</v>
      </c>
      <c r="O20" s="12">
        <v>0</v>
      </c>
      <c r="P20" s="23" t="s">
        <v>328</v>
      </c>
      <c r="Q20" s="24">
        <v>0</v>
      </c>
      <c r="R20" s="24">
        <v>0</v>
      </c>
      <c r="S20" s="23" t="s">
        <v>221</v>
      </c>
      <c r="T20" s="14"/>
    </row>
    <row r="21" spans="1:20" ht="51">
      <c r="A21" s="21">
        <v>11</v>
      </c>
      <c r="B21" s="22" t="s">
        <v>40</v>
      </c>
      <c r="C21" s="23" t="s">
        <v>36</v>
      </c>
      <c r="D21" s="12">
        <v>0.5</v>
      </c>
      <c r="E21" s="12">
        <v>0.5</v>
      </c>
      <c r="F21" s="12">
        <v>0</v>
      </c>
      <c r="G21" s="12"/>
      <c r="H21" s="12">
        <v>0.5</v>
      </c>
      <c r="I21" s="12">
        <v>0</v>
      </c>
      <c r="J21" s="12">
        <v>0</v>
      </c>
      <c r="K21" s="12"/>
      <c r="L21" s="12">
        <v>0</v>
      </c>
      <c r="M21" s="12"/>
      <c r="N21" s="12">
        <v>0</v>
      </c>
      <c r="O21" s="12">
        <v>0</v>
      </c>
      <c r="P21" s="23" t="s">
        <v>328</v>
      </c>
      <c r="Q21" s="23"/>
      <c r="R21" s="24">
        <v>0</v>
      </c>
      <c r="S21" s="23" t="s">
        <v>221</v>
      </c>
      <c r="T21" s="14"/>
    </row>
    <row r="22" spans="1:20" ht="51">
      <c r="A22" s="5" t="s">
        <v>21</v>
      </c>
      <c r="B22" s="18" t="s">
        <v>41</v>
      </c>
      <c r="C22" s="23">
        <v>0</v>
      </c>
      <c r="D22" s="3">
        <f>SUM(D23:D25)</f>
        <v>0.14</v>
      </c>
      <c r="E22" s="3">
        <f>SUM(E23:E25)</f>
        <v>0.14</v>
      </c>
      <c r="F22" s="3">
        <f>SUM(F23:F25)</f>
        <v>0</v>
      </c>
      <c r="G22" s="3"/>
      <c r="H22" s="3">
        <f>SUM(H23:H25)</f>
        <v>0</v>
      </c>
      <c r="I22" s="3">
        <f>SUM(I23:I25)</f>
        <v>0.14</v>
      </c>
      <c r="J22" s="3">
        <f>SUM(J23:J25)</f>
        <v>0</v>
      </c>
      <c r="K22" s="3">
        <f>SUM(K23:K25)</f>
        <v>0</v>
      </c>
      <c r="L22" s="3">
        <f>SUM(L23:L25)</f>
        <v>0</v>
      </c>
      <c r="M22" s="3"/>
      <c r="N22" s="3">
        <f>SUM(N23:N25)</f>
        <v>0</v>
      </c>
      <c r="O22" s="3">
        <f>SUM(O23:O25)</f>
        <v>0</v>
      </c>
      <c r="P22" s="23" t="s">
        <v>328</v>
      </c>
      <c r="Q22" s="19" t="s">
        <v>28</v>
      </c>
      <c r="R22" s="4"/>
      <c r="S22" s="20">
        <v>0</v>
      </c>
      <c r="T22" s="14"/>
    </row>
    <row r="23" spans="1:20" s="154" customFormat="1" ht="51">
      <c r="A23" s="150">
        <v>12</v>
      </c>
      <c r="B23" s="148" t="s">
        <v>227</v>
      </c>
      <c r="C23" s="23" t="s">
        <v>230</v>
      </c>
      <c r="D23" s="12">
        <v>0.1</v>
      </c>
      <c r="E23" s="12">
        <v>0.1</v>
      </c>
      <c r="F23" s="12"/>
      <c r="G23" s="12"/>
      <c r="H23" s="12"/>
      <c r="I23" s="12">
        <v>0.1</v>
      </c>
      <c r="J23" s="12"/>
      <c r="K23" s="12"/>
      <c r="L23" s="12"/>
      <c r="M23" s="12"/>
      <c r="N23" s="12"/>
      <c r="O23" s="12"/>
      <c r="P23" s="23" t="s">
        <v>327</v>
      </c>
      <c r="Q23" s="152"/>
      <c r="R23" s="155"/>
      <c r="S23" s="153"/>
      <c r="T23" s="14"/>
    </row>
    <row r="24" spans="1:20" s="154" customFormat="1" ht="52.5" customHeight="1">
      <c r="A24" s="150">
        <v>13</v>
      </c>
      <c r="B24" s="148" t="s">
        <v>320</v>
      </c>
      <c r="C24" s="23" t="s">
        <v>32</v>
      </c>
      <c r="D24" s="12">
        <v>0.02</v>
      </c>
      <c r="E24" s="12">
        <v>0.02</v>
      </c>
      <c r="F24" s="12"/>
      <c r="G24" s="12"/>
      <c r="H24" s="12"/>
      <c r="I24" s="12">
        <v>0.02</v>
      </c>
      <c r="J24" s="12"/>
      <c r="K24" s="12"/>
      <c r="L24" s="12"/>
      <c r="M24" s="12"/>
      <c r="N24" s="12"/>
      <c r="O24" s="12"/>
      <c r="P24" s="23" t="s">
        <v>327</v>
      </c>
      <c r="Q24" s="152"/>
      <c r="R24" s="155"/>
      <c r="S24" s="153"/>
      <c r="T24" s="14"/>
    </row>
    <row r="25" spans="1:20" s="154" customFormat="1" ht="51">
      <c r="A25" s="150">
        <v>14</v>
      </c>
      <c r="B25" s="148" t="s">
        <v>229</v>
      </c>
      <c r="C25" s="23" t="s">
        <v>32</v>
      </c>
      <c r="D25" s="12">
        <v>0.02</v>
      </c>
      <c r="E25" s="12">
        <v>0.02</v>
      </c>
      <c r="F25" s="12"/>
      <c r="G25" s="12"/>
      <c r="H25" s="12"/>
      <c r="I25" s="12">
        <v>0.02</v>
      </c>
      <c r="J25" s="12"/>
      <c r="K25" s="12"/>
      <c r="L25" s="12"/>
      <c r="M25" s="12"/>
      <c r="N25" s="12"/>
      <c r="O25" s="12"/>
      <c r="P25" s="23" t="s">
        <v>327</v>
      </c>
      <c r="Q25" s="152"/>
      <c r="R25" s="155"/>
      <c r="S25" s="153"/>
      <c r="T25" s="14"/>
    </row>
    <row r="26" spans="1:20" s="112" customFormat="1" ht="31.5" customHeight="1">
      <c r="A26" s="5" t="s">
        <v>17</v>
      </c>
      <c r="B26" s="18" t="s">
        <v>187</v>
      </c>
      <c r="C26" s="147"/>
      <c r="D26" s="3">
        <f>SUM(D27:D28)</f>
        <v>10</v>
      </c>
      <c r="E26" s="3">
        <f aca="true" t="shared" si="4" ref="E26:O26">SUM(E27:E28)</f>
        <v>10</v>
      </c>
      <c r="F26" s="3">
        <f t="shared" si="4"/>
        <v>0</v>
      </c>
      <c r="G26" s="3"/>
      <c r="H26" s="3">
        <f>SUM(H27:H28)</f>
        <v>6.5</v>
      </c>
      <c r="I26" s="3">
        <f>SUM(I27:I28)</f>
        <v>3.5</v>
      </c>
      <c r="J26" s="3">
        <f t="shared" si="4"/>
        <v>0</v>
      </c>
      <c r="K26" s="3">
        <f t="shared" si="4"/>
        <v>0</v>
      </c>
      <c r="L26" s="3">
        <f t="shared" si="4"/>
        <v>0</v>
      </c>
      <c r="M26" s="3">
        <f t="shared" si="4"/>
        <v>0</v>
      </c>
      <c r="N26" s="3">
        <f t="shared" si="4"/>
        <v>0</v>
      </c>
      <c r="O26" s="3">
        <f t="shared" si="4"/>
        <v>0</v>
      </c>
      <c r="P26" s="2"/>
      <c r="Q26" s="19"/>
      <c r="R26" s="4"/>
      <c r="S26" s="20"/>
      <c r="T26" s="111"/>
    </row>
    <row r="27" spans="1:20" s="216" customFormat="1" ht="51">
      <c r="A27" s="150">
        <v>15</v>
      </c>
      <c r="B27" s="148" t="s">
        <v>234</v>
      </c>
      <c r="C27" s="23" t="s">
        <v>235</v>
      </c>
      <c r="D27" s="12">
        <v>5</v>
      </c>
      <c r="E27" s="12">
        <v>5</v>
      </c>
      <c r="F27" s="12"/>
      <c r="G27" s="12"/>
      <c r="H27" s="12">
        <v>3.5</v>
      </c>
      <c r="I27" s="12">
        <v>1.5</v>
      </c>
      <c r="J27" s="211"/>
      <c r="K27" s="211"/>
      <c r="L27" s="211"/>
      <c r="M27" s="211"/>
      <c r="N27" s="211"/>
      <c r="O27" s="211"/>
      <c r="P27" s="23" t="s">
        <v>327</v>
      </c>
      <c r="Q27" s="212"/>
      <c r="R27" s="213"/>
      <c r="S27" s="214"/>
      <c r="T27" s="215"/>
    </row>
    <row r="28" spans="1:20" s="216" customFormat="1" ht="51">
      <c r="A28" s="150">
        <v>16</v>
      </c>
      <c r="B28" s="148" t="s">
        <v>234</v>
      </c>
      <c r="C28" s="23" t="s">
        <v>332</v>
      </c>
      <c r="D28" s="12">
        <v>5</v>
      </c>
      <c r="E28" s="12">
        <v>5</v>
      </c>
      <c r="F28" s="12"/>
      <c r="G28" s="12"/>
      <c r="H28" s="12">
        <v>3</v>
      </c>
      <c r="I28" s="12">
        <v>2</v>
      </c>
      <c r="J28" s="211"/>
      <c r="K28" s="211"/>
      <c r="L28" s="211"/>
      <c r="M28" s="211"/>
      <c r="N28" s="211"/>
      <c r="O28" s="211"/>
      <c r="P28" s="23" t="s">
        <v>327</v>
      </c>
      <c r="Q28" s="212"/>
      <c r="R28" s="213"/>
      <c r="S28" s="214"/>
      <c r="T28" s="215"/>
    </row>
    <row r="29" spans="1:20" s="216" customFormat="1" ht="30.75" customHeight="1">
      <c r="A29" s="150">
        <v>17</v>
      </c>
      <c r="B29" s="148" t="s">
        <v>234</v>
      </c>
      <c r="C29" s="23" t="s">
        <v>321</v>
      </c>
      <c r="D29" s="12">
        <v>3</v>
      </c>
      <c r="E29" s="12">
        <v>3</v>
      </c>
      <c r="F29" s="12"/>
      <c r="G29" s="12"/>
      <c r="H29" s="12">
        <v>3</v>
      </c>
      <c r="I29" s="12"/>
      <c r="J29" s="211"/>
      <c r="K29" s="211"/>
      <c r="L29" s="211"/>
      <c r="M29" s="211"/>
      <c r="N29" s="211"/>
      <c r="O29" s="211"/>
      <c r="P29" s="23"/>
      <c r="Q29" s="212"/>
      <c r="R29" s="213"/>
      <c r="S29" s="214"/>
      <c r="T29" s="215"/>
    </row>
    <row r="30" spans="1:20" s="216" customFormat="1" ht="30.75" customHeight="1">
      <c r="A30" s="150">
        <v>18</v>
      </c>
      <c r="B30" s="148" t="s">
        <v>234</v>
      </c>
      <c r="C30" s="23" t="s">
        <v>322</v>
      </c>
      <c r="D30" s="12">
        <v>5</v>
      </c>
      <c r="E30" s="12">
        <v>5</v>
      </c>
      <c r="F30" s="12"/>
      <c r="G30" s="12"/>
      <c r="H30" s="12">
        <v>5</v>
      </c>
      <c r="I30" s="12"/>
      <c r="J30" s="211"/>
      <c r="K30" s="211"/>
      <c r="L30" s="211"/>
      <c r="M30" s="211"/>
      <c r="N30" s="211"/>
      <c r="O30" s="211"/>
      <c r="P30" s="23"/>
      <c r="Q30" s="212"/>
      <c r="R30" s="213"/>
      <c r="S30" s="214"/>
      <c r="T30" s="215"/>
    </row>
    <row r="31" spans="1:20" s="112" customFormat="1" ht="31.5" customHeight="1">
      <c r="A31" s="5" t="s">
        <v>154</v>
      </c>
      <c r="B31" s="18" t="s">
        <v>232</v>
      </c>
      <c r="C31" s="147"/>
      <c r="D31" s="3">
        <f>D32+D33</f>
        <v>1.6300000000000001</v>
      </c>
      <c r="E31" s="3">
        <f>E32+E33</f>
        <v>1.6300000000000001</v>
      </c>
      <c r="F31" s="3">
        <f>SUM(F32:F33)</f>
        <v>0</v>
      </c>
      <c r="G31" s="3">
        <f>SUM(G32:G33)</f>
        <v>0</v>
      </c>
      <c r="H31" s="3">
        <f>SUM(H32:H33)</f>
        <v>0.9</v>
      </c>
      <c r="I31" s="3">
        <f>I32+I33</f>
        <v>0.63</v>
      </c>
      <c r="J31" s="3">
        <f>SUM(J32:J33)</f>
        <v>0</v>
      </c>
      <c r="K31" s="3">
        <f>SUM(K32:K33)</f>
        <v>0</v>
      </c>
      <c r="L31" s="3">
        <f>SUM(L32:L33)</f>
        <v>0</v>
      </c>
      <c r="M31" s="3">
        <f>M32+M33</f>
        <v>0.1</v>
      </c>
      <c r="N31" s="3">
        <f>SUM(N32:N33)</f>
        <v>0</v>
      </c>
      <c r="O31" s="3">
        <f>SUM(O32:O33)</f>
        <v>0</v>
      </c>
      <c r="P31" s="2"/>
      <c r="Q31" s="19"/>
      <c r="R31" s="4"/>
      <c r="S31" s="20"/>
      <c r="T31" s="111"/>
    </row>
    <row r="32" spans="1:20" s="154" customFormat="1" ht="51">
      <c r="A32" s="150">
        <v>19</v>
      </c>
      <c r="B32" s="148" t="s">
        <v>236</v>
      </c>
      <c r="C32" s="23" t="s">
        <v>34</v>
      </c>
      <c r="D32" s="12">
        <f>E32</f>
        <v>0.5700000000000001</v>
      </c>
      <c r="E32" s="12">
        <f>0.29+0.28</f>
        <v>0.5700000000000001</v>
      </c>
      <c r="F32" s="12"/>
      <c r="G32" s="12"/>
      <c r="H32" s="12"/>
      <c r="I32" s="12">
        <f>0.26+0.26</f>
        <v>0.52</v>
      </c>
      <c r="J32" s="12"/>
      <c r="K32" s="12"/>
      <c r="L32" s="12"/>
      <c r="M32" s="12">
        <f>0.03+0.02</f>
        <v>0.05</v>
      </c>
      <c r="N32" s="12"/>
      <c r="O32" s="12"/>
      <c r="P32" s="23" t="s">
        <v>327</v>
      </c>
      <c r="Q32" s="152"/>
      <c r="R32" s="155"/>
      <c r="S32" s="153"/>
      <c r="T32" s="14"/>
    </row>
    <row r="33" spans="1:20" s="154" customFormat="1" ht="54.75" customHeight="1">
      <c r="A33" s="150">
        <v>20</v>
      </c>
      <c r="B33" s="158" t="s">
        <v>318</v>
      </c>
      <c r="C33" s="23" t="s">
        <v>34</v>
      </c>
      <c r="D33" s="12">
        <v>1.06</v>
      </c>
      <c r="E33" s="12">
        <v>1.06</v>
      </c>
      <c r="F33" s="12"/>
      <c r="G33" s="12"/>
      <c r="H33" s="12">
        <f>1.06-I33-M33</f>
        <v>0.9</v>
      </c>
      <c r="I33" s="12">
        <v>0.11</v>
      </c>
      <c r="J33" s="12"/>
      <c r="K33" s="12"/>
      <c r="L33" s="12"/>
      <c r="M33" s="12">
        <v>0.05</v>
      </c>
      <c r="N33" s="12"/>
      <c r="O33" s="12"/>
      <c r="P33" s="23" t="s">
        <v>327</v>
      </c>
      <c r="Q33" s="152"/>
      <c r="R33" s="155"/>
      <c r="S33" s="153"/>
      <c r="T33" s="14"/>
    </row>
    <row r="34" spans="1:20" s="154" customFormat="1" ht="51">
      <c r="A34" s="5" t="s">
        <v>141</v>
      </c>
      <c r="B34" s="158" t="s">
        <v>273</v>
      </c>
      <c r="C34" s="23" t="s">
        <v>272</v>
      </c>
      <c r="D34" s="3">
        <v>2</v>
      </c>
      <c r="E34" s="3">
        <v>2</v>
      </c>
      <c r="F34" s="12"/>
      <c r="G34" s="12"/>
      <c r="H34" s="12">
        <v>2</v>
      </c>
      <c r="I34" s="12"/>
      <c r="J34" s="12"/>
      <c r="K34" s="12"/>
      <c r="L34" s="12"/>
      <c r="M34" s="12"/>
      <c r="N34" s="12"/>
      <c r="O34" s="12"/>
      <c r="P34" s="23" t="s">
        <v>327</v>
      </c>
      <c r="Q34" s="152"/>
      <c r="R34" s="155"/>
      <c r="S34" s="153"/>
      <c r="T34" s="14"/>
    </row>
    <row r="35" spans="1:20" s="154" customFormat="1" ht="51">
      <c r="A35" s="5" t="s">
        <v>141</v>
      </c>
      <c r="B35" s="198" t="s">
        <v>294</v>
      </c>
      <c r="C35" s="23" t="s">
        <v>295</v>
      </c>
      <c r="D35" s="3">
        <v>1.34</v>
      </c>
      <c r="E35" s="3">
        <v>1.34</v>
      </c>
      <c r="F35" s="12"/>
      <c r="G35" s="12"/>
      <c r="H35" s="12">
        <v>1.34</v>
      </c>
      <c r="I35" s="12"/>
      <c r="J35" s="12"/>
      <c r="K35" s="12"/>
      <c r="L35" s="12"/>
      <c r="M35" s="12"/>
      <c r="N35" s="12"/>
      <c r="O35" s="12"/>
      <c r="P35" s="23" t="s">
        <v>328</v>
      </c>
      <c r="Q35" s="152"/>
      <c r="R35" s="155"/>
      <c r="S35" s="153"/>
      <c r="T35" s="14"/>
    </row>
    <row r="36" spans="1:20" ht="59.25" customHeight="1">
      <c r="A36" s="7" t="s">
        <v>63</v>
      </c>
      <c r="B36" s="10" t="s">
        <v>64</v>
      </c>
      <c r="C36" s="25"/>
      <c r="D36" s="110">
        <f>25.5+D39+D40</f>
        <v>27</v>
      </c>
      <c r="E36" s="110">
        <v>27</v>
      </c>
      <c r="F36" s="110"/>
      <c r="G36" s="110"/>
      <c r="H36" s="110">
        <v>25.5</v>
      </c>
      <c r="I36" s="110"/>
      <c r="J36" s="110"/>
      <c r="K36" s="110"/>
      <c r="L36" s="110"/>
      <c r="M36" s="110"/>
      <c r="N36" s="110"/>
      <c r="O36" s="110"/>
      <c r="P36" s="110"/>
      <c r="Q36" s="26"/>
      <c r="R36" s="26"/>
      <c r="S36" s="26"/>
      <c r="T36" s="14"/>
    </row>
    <row r="37" spans="1:20" s="112" customFormat="1" ht="26.25" customHeight="1">
      <c r="A37" s="7" t="s">
        <v>125</v>
      </c>
      <c r="B37" s="10" t="s">
        <v>217</v>
      </c>
      <c r="C37" s="109"/>
      <c r="D37" s="110">
        <v>25.5</v>
      </c>
      <c r="E37" s="110">
        <f>25.5+E39+E40</f>
        <v>27</v>
      </c>
      <c r="F37" s="110"/>
      <c r="G37" s="110"/>
      <c r="H37" s="110">
        <v>25.5</v>
      </c>
      <c r="I37" s="110"/>
      <c r="J37" s="110"/>
      <c r="K37" s="110"/>
      <c r="L37" s="110"/>
      <c r="M37" s="110"/>
      <c r="N37" s="110"/>
      <c r="O37" s="110"/>
      <c r="P37" s="110"/>
      <c r="Q37" s="110"/>
      <c r="R37" s="110"/>
      <c r="S37" s="110"/>
      <c r="T37" s="111"/>
    </row>
    <row r="38" spans="1:20" ht="26.25" customHeight="1">
      <c r="A38" s="108">
        <v>21</v>
      </c>
      <c r="B38" s="107" t="s">
        <v>216</v>
      </c>
      <c r="C38" s="113" t="s">
        <v>218</v>
      </c>
      <c r="D38" s="26">
        <v>25.5</v>
      </c>
      <c r="E38" s="26">
        <v>25.5</v>
      </c>
      <c r="F38" s="26"/>
      <c r="G38" s="26"/>
      <c r="H38" s="26">
        <v>25.5</v>
      </c>
      <c r="I38" s="26"/>
      <c r="J38" s="26"/>
      <c r="K38" s="26"/>
      <c r="L38" s="26"/>
      <c r="M38" s="26"/>
      <c r="N38" s="26"/>
      <c r="O38" s="26"/>
      <c r="P38" s="26"/>
      <c r="Q38" s="26"/>
      <c r="R38" s="26"/>
      <c r="S38" s="23" t="s">
        <v>221</v>
      </c>
      <c r="T38" s="14"/>
    </row>
    <row r="39" spans="1:20" ht="26.25" customHeight="1">
      <c r="A39" s="5" t="s">
        <v>21</v>
      </c>
      <c r="B39" s="195" t="s">
        <v>228</v>
      </c>
      <c r="C39" s="23" t="s">
        <v>231</v>
      </c>
      <c r="D39" s="12">
        <v>0.8</v>
      </c>
      <c r="E39" s="12">
        <v>0.8</v>
      </c>
      <c r="F39" s="12"/>
      <c r="G39" s="12"/>
      <c r="H39" s="12"/>
      <c r="I39" s="12">
        <v>0</v>
      </c>
      <c r="J39" s="12"/>
      <c r="K39" s="12"/>
      <c r="L39" s="12"/>
      <c r="M39" s="12"/>
      <c r="N39" s="12"/>
      <c r="O39" s="12">
        <v>0.8</v>
      </c>
      <c r="P39" s="26"/>
      <c r="Q39" s="26"/>
      <c r="R39" s="26"/>
      <c r="S39" s="23"/>
      <c r="T39" s="14"/>
    </row>
    <row r="40" spans="1:20" ht="26.25" customHeight="1">
      <c r="A40" s="156" t="s">
        <v>15</v>
      </c>
      <c r="B40" s="22" t="s">
        <v>233</v>
      </c>
      <c r="C40" s="23" t="s">
        <v>34</v>
      </c>
      <c r="D40" s="12">
        <v>0.7</v>
      </c>
      <c r="E40" s="12">
        <v>0.7</v>
      </c>
      <c r="F40" s="12"/>
      <c r="G40" s="12"/>
      <c r="H40" s="12"/>
      <c r="I40" s="12"/>
      <c r="J40" s="12"/>
      <c r="K40" s="12"/>
      <c r="L40" s="12"/>
      <c r="M40" s="12"/>
      <c r="N40" s="12"/>
      <c r="O40" s="12">
        <v>0.7</v>
      </c>
      <c r="P40" s="26"/>
      <c r="Q40" s="26"/>
      <c r="R40" s="26"/>
      <c r="S40" s="23"/>
      <c r="T40" s="14"/>
    </row>
    <row r="41" spans="1:20" ht="42.75" customHeight="1">
      <c r="A41" s="8" t="s">
        <v>65</v>
      </c>
      <c r="B41" s="11" t="s">
        <v>66</v>
      </c>
      <c r="C41" s="9">
        <v>0</v>
      </c>
      <c r="D41" s="3">
        <f aca="true" t="shared" si="5" ref="D41:O41">SUM(D42,D52,D57,D61,D73)</f>
        <v>724.55</v>
      </c>
      <c r="E41" s="3">
        <f t="shared" si="5"/>
        <v>725.08</v>
      </c>
      <c r="F41" s="3">
        <f t="shared" si="5"/>
        <v>0</v>
      </c>
      <c r="G41" s="3">
        <f t="shared" si="5"/>
        <v>2.2</v>
      </c>
      <c r="H41" s="3">
        <f t="shared" si="5"/>
        <v>633.26</v>
      </c>
      <c r="I41" s="3">
        <f t="shared" si="5"/>
        <v>3.9599999999999995</v>
      </c>
      <c r="J41" s="3">
        <f t="shared" si="5"/>
        <v>48</v>
      </c>
      <c r="K41" s="3">
        <f t="shared" si="5"/>
        <v>0.54</v>
      </c>
      <c r="L41" s="3">
        <f t="shared" si="5"/>
        <v>3</v>
      </c>
      <c r="M41" s="3">
        <f t="shared" si="5"/>
        <v>1</v>
      </c>
      <c r="N41" s="3">
        <f t="shared" si="5"/>
        <v>34.07</v>
      </c>
      <c r="O41" s="3">
        <f t="shared" si="5"/>
        <v>290</v>
      </c>
      <c r="P41" s="23"/>
      <c r="Q41" s="23"/>
      <c r="R41" s="23"/>
      <c r="S41" s="23"/>
      <c r="T41" s="14"/>
    </row>
    <row r="42" spans="1:20" s="218" customFormat="1" ht="26.25" customHeight="1">
      <c r="A42" s="5" t="s">
        <v>9</v>
      </c>
      <c r="B42" s="18" t="s">
        <v>42</v>
      </c>
      <c r="C42" s="23">
        <v>0</v>
      </c>
      <c r="D42" s="3">
        <f>D44+D45+D47+D49+D50+D51</f>
        <v>610</v>
      </c>
      <c r="E42" s="3">
        <f>E44+E45+E47+E49+E50+E51</f>
        <v>610</v>
      </c>
      <c r="F42" s="3">
        <f>F44+F45+F47+F49+F50+F51</f>
        <v>0</v>
      </c>
      <c r="G42" s="3">
        <f>G44+G45+G47+G49+G50+G51</f>
        <v>0</v>
      </c>
      <c r="H42" s="3">
        <f>H44+H45+H47+H49+H50+H51+H51+290</f>
        <v>610</v>
      </c>
      <c r="I42" s="3">
        <f aca="true" t="shared" si="6" ref="I42:O42">SUM(I43:I51)</f>
        <v>0</v>
      </c>
      <c r="J42" s="3">
        <f t="shared" si="6"/>
        <v>0</v>
      </c>
      <c r="K42" s="3">
        <f t="shared" si="6"/>
        <v>0</v>
      </c>
      <c r="L42" s="3">
        <f t="shared" si="6"/>
        <v>0</v>
      </c>
      <c r="M42" s="3">
        <f t="shared" si="6"/>
        <v>0</v>
      </c>
      <c r="N42" s="3">
        <f t="shared" si="6"/>
        <v>0</v>
      </c>
      <c r="O42" s="3">
        <f t="shared" si="6"/>
        <v>290</v>
      </c>
      <c r="P42" s="2" t="s">
        <v>28</v>
      </c>
      <c r="Q42" s="19" t="s">
        <v>28</v>
      </c>
      <c r="R42" s="3"/>
      <c r="S42" s="20">
        <v>0</v>
      </c>
      <c r="T42" s="217"/>
    </row>
    <row r="43" spans="1:20" s="218" customFormat="1" ht="26.25" customHeight="1">
      <c r="A43" s="21">
        <v>22</v>
      </c>
      <c r="B43" s="22" t="s">
        <v>261</v>
      </c>
      <c r="C43" s="23" t="s">
        <v>88</v>
      </c>
      <c r="D43" s="12"/>
      <c r="E43" s="12"/>
      <c r="F43" s="12"/>
      <c r="G43" s="12"/>
      <c r="H43" s="12"/>
      <c r="I43" s="12"/>
      <c r="J43" s="12"/>
      <c r="K43" s="12"/>
      <c r="L43" s="12"/>
      <c r="M43" s="12"/>
      <c r="N43" s="12"/>
      <c r="O43" s="12"/>
      <c r="P43" s="24"/>
      <c r="Q43" s="24"/>
      <c r="R43" s="24"/>
      <c r="S43" s="23"/>
      <c r="T43" s="217"/>
    </row>
    <row r="44" spans="1:20" s="218" customFormat="1" ht="26.25" customHeight="1">
      <c r="A44" s="21">
        <v>23</v>
      </c>
      <c r="B44" s="22" t="s">
        <v>261</v>
      </c>
      <c r="C44" s="23" t="s">
        <v>26</v>
      </c>
      <c r="D44" s="12">
        <v>8</v>
      </c>
      <c r="E44" s="12">
        <f>15-7</f>
        <v>8</v>
      </c>
      <c r="F44" s="12"/>
      <c r="G44" s="12"/>
      <c r="H44" s="12">
        <f>15-7</f>
        <v>8</v>
      </c>
      <c r="I44" s="12"/>
      <c r="J44" s="12"/>
      <c r="K44" s="12"/>
      <c r="L44" s="12"/>
      <c r="M44" s="12"/>
      <c r="N44" s="12"/>
      <c r="O44" s="12"/>
      <c r="P44" s="24"/>
      <c r="Q44" s="24"/>
      <c r="R44" s="24"/>
      <c r="S44" s="23"/>
      <c r="T44" s="217"/>
    </row>
    <row r="45" spans="1:20" s="218" customFormat="1" ht="26.25" customHeight="1">
      <c r="A45" s="21">
        <v>24</v>
      </c>
      <c r="B45" s="22" t="s">
        <v>261</v>
      </c>
      <c r="C45" s="23" t="s">
        <v>32</v>
      </c>
      <c r="D45" s="12">
        <v>46</v>
      </c>
      <c r="E45" s="12">
        <v>46</v>
      </c>
      <c r="F45" s="12"/>
      <c r="G45" s="12"/>
      <c r="H45" s="12">
        <v>46</v>
      </c>
      <c r="I45" s="12"/>
      <c r="J45" s="12"/>
      <c r="K45" s="12"/>
      <c r="L45" s="12"/>
      <c r="M45" s="12"/>
      <c r="N45" s="12"/>
      <c r="O45" s="12"/>
      <c r="P45" s="24"/>
      <c r="Q45" s="24"/>
      <c r="R45" s="24"/>
      <c r="S45" s="23"/>
      <c r="T45" s="217"/>
    </row>
    <row r="46" spans="1:20" s="218" customFormat="1" ht="26.25" customHeight="1">
      <c r="A46" s="21">
        <v>25</v>
      </c>
      <c r="B46" s="22" t="s">
        <v>261</v>
      </c>
      <c r="C46" s="23" t="s">
        <v>230</v>
      </c>
      <c r="D46" s="12"/>
      <c r="E46" s="12"/>
      <c r="F46" s="12"/>
      <c r="G46" s="12"/>
      <c r="H46" s="12"/>
      <c r="I46" s="12"/>
      <c r="J46" s="12"/>
      <c r="K46" s="12"/>
      <c r="L46" s="12"/>
      <c r="M46" s="12"/>
      <c r="N46" s="12"/>
      <c r="O46" s="12"/>
      <c r="P46" s="24"/>
      <c r="Q46" s="24"/>
      <c r="R46" s="24"/>
      <c r="S46" s="23"/>
      <c r="T46" s="217"/>
    </row>
    <row r="47" spans="1:20" s="218" customFormat="1" ht="26.25" customHeight="1">
      <c r="A47" s="21">
        <v>26</v>
      </c>
      <c r="B47" s="22" t="s">
        <v>261</v>
      </c>
      <c r="C47" s="23" t="s">
        <v>33</v>
      </c>
      <c r="D47" s="12">
        <f>83+30</f>
        <v>113</v>
      </c>
      <c r="E47" s="12">
        <f>83+30</f>
        <v>113</v>
      </c>
      <c r="F47" s="12"/>
      <c r="G47" s="12"/>
      <c r="H47" s="12">
        <v>113</v>
      </c>
      <c r="I47" s="12"/>
      <c r="J47" s="12"/>
      <c r="K47" s="12"/>
      <c r="L47" s="12"/>
      <c r="M47" s="12"/>
      <c r="N47" s="12"/>
      <c r="O47" s="12"/>
      <c r="P47" s="24"/>
      <c r="Q47" s="24"/>
      <c r="R47" s="24"/>
      <c r="S47" s="23"/>
      <c r="T47" s="217"/>
    </row>
    <row r="48" spans="1:20" s="218" customFormat="1" ht="26.25" customHeight="1">
      <c r="A48" s="21">
        <v>27</v>
      </c>
      <c r="B48" s="22" t="s">
        <v>261</v>
      </c>
      <c r="C48" s="23" t="s">
        <v>29</v>
      </c>
      <c r="D48" s="12"/>
      <c r="E48" s="12"/>
      <c r="F48" s="12"/>
      <c r="G48" s="12"/>
      <c r="H48" s="12"/>
      <c r="I48" s="12"/>
      <c r="J48" s="12"/>
      <c r="K48" s="12"/>
      <c r="L48" s="12"/>
      <c r="M48" s="12"/>
      <c r="N48" s="12"/>
      <c r="O48" s="12"/>
      <c r="P48" s="24"/>
      <c r="Q48" s="24"/>
      <c r="R48" s="24"/>
      <c r="S48" s="23"/>
      <c r="T48" s="217"/>
    </row>
    <row r="49" spans="1:20" s="218" customFormat="1" ht="26.25" customHeight="1">
      <c r="A49" s="21">
        <v>28</v>
      </c>
      <c r="B49" s="22" t="s">
        <v>261</v>
      </c>
      <c r="C49" s="23" t="s">
        <v>34</v>
      </c>
      <c r="D49" s="12">
        <f>100-29</f>
        <v>71</v>
      </c>
      <c r="E49" s="12">
        <v>71</v>
      </c>
      <c r="F49" s="12"/>
      <c r="G49" s="12"/>
      <c r="H49" s="12">
        <f>100-29</f>
        <v>71</v>
      </c>
      <c r="I49" s="12"/>
      <c r="J49" s="12"/>
      <c r="K49" s="12"/>
      <c r="L49" s="12"/>
      <c r="M49" s="12"/>
      <c r="N49" s="12"/>
      <c r="O49" s="12"/>
      <c r="P49" s="24"/>
      <c r="Q49" s="24"/>
      <c r="R49" s="24"/>
      <c r="S49" s="23"/>
      <c r="T49" s="217"/>
    </row>
    <row r="50" spans="1:20" s="218" customFormat="1" ht="26.25" customHeight="1">
      <c r="A50" s="21">
        <v>29</v>
      </c>
      <c r="B50" s="22" t="s">
        <v>261</v>
      </c>
      <c r="C50" s="23" t="s">
        <v>259</v>
      </c>
      <c r="D50" s="12">
        <v>82</v>
      </c>
      <c r="E50" s="12">
        <v>82</v>
      </c>
      <c r="F50" s="12"/>
      <c r="G50" s="12"/>
      <c r="H50" s="12">
        <f>35+47</f>
        <v>82</v>
      </c>
      <c r="I50" s="12"/>
      <c r="J50" s="12"/>
      <c r="K50" s="12"/>
      <c r="L50" s="12"/>
      <c r="M50" s="12"/>
      <c r="N50" s="12"/>
      <c r="O50" s="12"/>
      <c r="P50" s="24"/>
      <c r="Q50" s="24"/>
      <c r="R50" s="24"/>
      <c r="S50" s="23"/>
      <c r="T50" s="217"/>
    </row>
    <row r="51" spans="1:20" ht="75" customHeight="1">
      <c r="A51" s="188">
        <v>30</v>
      </c>
      <c r="B51" s="22" t="s">
        <v>43</v>
      </c>
      <c r="C51" s="23" t="s">
        <v>60</v>
      </c>
      <c r="D51" s="12">
        <v>290</v>
      </c>
      <c r="E51" s="12">
        <v>290</v>
      </c>
      <c r="F51" s="12">
        <v>0</v>
      </c>
      <c r="G51" s="12"/>
      <c r="H51" s="12">
        <v>0</v>
      </c>
      <c r="I51" s="12">
        <v>0</v>
      </c>
      <c r="J51" s="12">
        <v>0</v>
      </c>
      <c r="K51" s="12"/>
      <c r="L51" s="12">
        <v>0</v>
      </c>
      <c r="M51" s="12"/>
      <c r="N51" s="12">
        <v>0</v>
      </c>
      <c r="O51" s="12">
        <v>290</v>
      </c>
      <c r="P51" s="24">
        <v>0</v>
      </c>
      <c r="Q51" s="24" t="s">
        <v>44</v>
      </c>
      <c r="R51" s="24"/>
      <c r="S51" s="23" t="s">
        <v>221</v>
      </c>
      <c r="T51" s="14"/>
    </row>
    <row r="52" spans="1:20" ht="26.25" customHeight="1">
      <c r="A52" s="5" t="s">
        <v>12</v>
      </c>
      <c r="B52" s="18" t="s">
        <v>46</v>
      </c>
      <c r="C52" s="23">
        <v>0</v>
      </c>
      <c r="D52" s="3">
        <v>71</v>
      </c>
      <c r="E52" s="3">
        <v>71</v>
      </c>
      <c r="F52" s="3">
        <v>0</v>
      </c>
      <c r="G52" s="3"/>
      <c r="H52" s="3">
        <v>0</v>
      </c>
      <c r="I52" s="3">
        <v>0</v>
      </c>
      <c r="J52" s="3">
        <v>48</v>
      </c>
      <c r="K52" s="3"/>
      <c r="L52" s="3">
        <v>0</v>
      </c>
      <c r="M52" s="3"/>
      <c r="N52" s="3">
        <v>23</v>
      </c>
      <c r="O52" s="3">
        <v>0</v>
      </c>
      <c r="P52" s="2" t="s">
        <v>28</v>
      </c>
      <c r="Q52" s="19" t="s">
        <v>28</v>
      </c>
      <c r="R52" s="3"/>
      <c r="S52" s="20">
        <v>0</v>
      </c>
      <c r="T52" s="14"/>
    </row>
    <row r="53" spans="1:20" ht="123" customHeight="1">
      <c r="A53" s="21">
        <v>31</v>
      </c>
      <c r="B53" s="22" t="s">
        <v>47</v>
      </c>
      <c r="C53" s="23" t="s">
        <v>29</v>
      </c>
      <c r="D53" s="12">
        <v>48</v>
      </c>
      <c r="E53" s="12">
        <v>48</v>
      </c>
      <c r="F53" s="12">
        <v>0</v>
      </c>
      <c r="G53" s="12"/>
      <c r="H53" s="12">
        <v>0</v>
      </c>
      <c r="I53" s="12">
        <v>0</v>
      </c>
      <c r="J53" s="12">
        <v>48</v>
      </c>
      <c r="K53" s="12"/>
      <c r="L53" s="12">
        <v>0</v>
      </c>
      <c r="M53" s="12"/>
      <c r="N53" s="12">
        <v>0</v>
      </c>
      <c r="O53" s="12">
        <v>0</v>
      </c>
      <c r="P53" s="24" t="s">
        <v>48</v>
      </c>
      <c r="Q53" s="24">
        <v>0</v>
      </c>
      <c r="R53" s="24">
        <v>0</v>
      </c>
      <c r="S53" s="23" t="s">
        <v>221</v>
      </c>
      <c r="T53" s="14"/>
    </row>
    <row r="54" spans="1:20" ht="26.25" customHeight="1">
      <c r="A54" s="21">
        <v>32</v>
      </c>
      <c r="B54" s="22" t="s">
        <v>49</v>
      </c>
      <c r="C54" s="23" t="s">
        <v>26</v>
      </c>
      <c r="D54" s="12">
        <v>9</v>
      </c>
      <c r="E54" s="12">
        <v>9</v>
      </c>
      <c r="F54" s="12"/>
      <c r="G54" s="12"/>
      <c r="H54" s="12">
        <v>0</v>
      </c>
      <c r="I54" s="12">
        <v>0</v>
      </c>
      <c r="J54" s="12">
        <v>0</v>
      </c>
      <c r="K54" s="12"/>
      <c r="L54" s="12">
        <v>0</v>
      </c>
      <c r="M54" s="12"/>
      <c r="N54" s="12">
        <v>9</v>
      </c>
      <c r="O54" s="12">
        <v>0</v>
      </c>
      <c r="P54" s="24">
        <v>0</v>
      </c>
      <c r="Q54" s="24">
        <v>0</v>
      </c>
      <c r="R54" s="24">
        <v>0</v>
      </c>
      <c r="S54" s="23" t="s">
        <v>221</v>
      </c>
      <c r="T54" s="14"/>
    </row>
    <row r="55" spans="1:20" ht="26.25" customHeight="1">
      <c r="A55" s="21">
        <v>33</v>
      </c>
      <c r="B55" s="22" t="s">
        <v>50</v>
      </c>
      <c r="C55" s="23" t="s">
        <v>26</v>
      </c>
      <c r="D55" s="12">
        <v>7</v>
      </c>
      <c r="E55" s="12">
        <v>7</v>
      </c>
      <c r="F55" s="12">
        <v>0</v>
      </c>
      <c r="G55" s="12"/>
      <c r="H55" s="12">
        <v>0</v>
      </c>
      <c r="I55" s="12">
        <v>0</v>
      </c>
      <c r="J55" s="12">
        <v>0</v>
      </c>
      <c r="K55" s="12"/>
      <c r="L55" s="12">
        <v>0</v>
      </c>
      <c r="M55" s="12"/>
      <c r="N55" s="12">
        <v>7</v>
      </c>
      <c r="O55" s="12">
        <v>0</v>
      </c>
      <c r="P55" s="24">
        <v>0</v>
      </c>
      <c r="Q55" s="24">
        <v>0</v>
      </c>
      <c r="R55" s="24">
        <v>0</v>
      </c>
      <c r="S55" s="23" t="s">
        <v>221</v>
      </c>
      <c r="T55" s="14"/>
    </row>
    <row r="56" spans="1:20" ht="26.25" customHeight="1">
      <c r="A56" s="21">
        <v>34</v>
      </c>
      <c r="B56" s="22" t="s">
        <v>51</v>
      </c>
      <c r="C56" s="23" t="s">
        <v>33</v>
      </c>
      <c r="D56" s="12">
        <v>7</v>
      </c>
      <c r="E56" s="12">
        <v>7</v>
      </c>
      <c r="F56" s="12">
        <v>0</v>
      </c>
      <c r="G56" s="12"/>
      <c r="H56" s="12">
        <v>0</v>
      </c>
      <c r="I56" s="12">
        <v>0</v>
      </c>
      <c r="J56" s="12">
        <v>0</v>
      </c>
      <c r="K56" s="12"/>
      <c r="L56" s="12">
        <v>0</v>
      </c>
      <c r="M56" s="12"/>
      <c r="N56" s="12">
        <v>7</v>
      </c>
      <c r="O56" s="12">
        <v>0</v>
      </c>
      <c r="P56" s="24">
        <v>0</v>
      </c>
      <c r="Q56" s="24">
        <v>0</v>
      </c>
      <c r="R56" s="24">
        <v>0</v>
      </c>
      <c r="S56" s="23" t="s">
        <v>221</v>
      </c>
      <c r="T56" s="14"/>
    </row>
    <row r="57" spans="1:20" s="112" customFormat="1" ht="26.25" customHeight="1">
      <c r="A57" s="21">
        <v>35</v>
      </c>
      <c r="B57" s="149" t="s">
        <v>134</v>
      </c>
      <c r="C57" s="147"/>
      <c r="D57" s="3">
        <f aca="true" t="shared" si="7" ref="D57:O57">SUM(D58:D60)</f>
        <v>0.06</v>
      </c>
      <c r="E57" s="3">
        <f t="shared" si="7"/>
        <v>0.06</v>
      </c>
      <c r="F57" s="3">
        <f t="shared" si="7"/>
        <v>0</v>
      </c>
      <c r="G57" s="3">
        <f t="shared" si="7"/>
        <v>0</v>
      </c>
      <c r="H57" s="3">
        <f t="shared" si="7"/>
        <v>0.06</v>
      </c>
      <c r="I57" s="3">
        <f t="shared" si="7"/>
        <v>0</v>
      </c>
      <c r="J57" s="3">
        <f t="shared" si="7"/>
        <v>0</v>
      </c>
      <c r="K57" s="3">
        <f t="shared" si="7"/>
        <v>0</v>
      </c>
      <c r="L57" s="3">
        <f t="shared" si="7"/>
        <v>0</v>
      </c>
      <c r="M57" s="3">
        <f t="shared" si="7"/>
        <v>0</v>
      </c>
      <c r="N57" s="3">
        <f t="shared" si="7"/>
        <v>0</v>
      </c>
      <c r="O57" s="3">
        <f t="shared" si="7"/>
        <v>0</v>
      </c>
      <c r="P57" s="157"/>
      <c r="Q57" s="157"/>
      <c r="R57" s="157"/>
      <c r="S57" s="147"/>
      <c r="T57" s="111"/>
    </row>
    <row r="58" spans="1:20" s="154" customFormat="1" ht="33.75" customHeight="1">
      <c r="A58" s="21">
        <v>36</v>
      </c>
      <c r="B58" s="148" t="s">
        <v>257</v>
      </c>
      <c r="C58" s="23" t="s">
        <v>33</v>
      </c>
      <c r="D58" s="12">
        <v>0.02</v>
      </c>
      <c r="E58" s="12">
        <v>0.02</v>
      </c>
      <c r="F58" s="12"/>
      <c r="G58" s="12"/>
      <c r="H58" s="12">
        <v>0.02</v>
      </c>
      <c r="I58" s="12"/>
      <c r="J58" s="12"/>
      <c r="K58" s="12"/>
      <c r="L58" s="12"/>
      <c r="M58" s="12"/>
      <c r="N58" s="12"/>
      <c r="O58" s="12"/>
      <c r="P58" s="151"/>
      <c r="Q58" s="152"/>
      <c r="R58" s="155"/>
      <c r="S58" s="153"/>
      <c r="T58" s="14"/>
    </row>
    <row r="59" spans="1:20" s="154" customFormat="1" ht="33.75" customHeight="1">
      <c r="A59" s="21">
        <v>37</v>
      </c>
      <c r="B59" s="148" t="s">
        <v>262</v>
      </c>
      <c r="C59" s="23" t="s">
        <v>29</v>
      </c>
      <c r="D59" s="12">
        <v>0.02</v>
      </c>
      <c r="E59" s="12">
        <v>0.02</v>
      </c>
      <c r="F59" s="12"/>
      <c r="G59" s="12"/>
      <c r="H59" s="12">
        <v>0.02</v>
      </c>
      <c r="I59" s="12"/>
      <c r="J59" s="12"/>
      <c r="K59" s="12"/>
      <c r="L59" s="12"/>
      <c r="M59" s="12"/>
      <c r="N59" s="12"/>
      <c r="O59" s="12"/>
      <c r="P59" s="151"/>
      <c r="Q59" s="152"/>
      <c r="R59" s="155"/>
      <c r="S59" s="153"/>
      <c r="T59" s="14"/>
    </row>
    <row r="60" spans="1:20" s="154" customFormat="1" ht="33.75" customHeight="1">
      <c r="A60" s="21">
        <v>38</v>
      </c>
      <c r="B60" s="148" t="s">
        <v>263</v>
      </c>
      <c r="C60" s="23" t="s">
        <v>258</v>
      </c>
      <c r="D60" s="12">
        <v>0.02</v>
      </c>
      <c r="E60" s="12">
        <v>0.02</v>
      </c>
      <c r="F60" s="12"/>
      <c r="G60" s="12"/>
      <c r="H60" s="12">
        <v>0.02</v>
      </c>
      <c r="I60" s="12"/>
      <c r="J60" s="12"/>
      <c r="K60" s="12"/>
      <c r="L60" s="12"/>
      <c r="M60" s="12"/>
      <c r="N60" s="12"/>
      <c r="O60" s="12"/>
      <c r="P60" s="151"/>
      <c r="Q60" s="152"/>
      <c r="R60" s="155"/>
      <c r="S60" s="153"/>
      <c r="T60" s="14"/>
    </row>
    <row r="61" spans="1:20" ht="26.25" customHeight="1">
      <c r="A61" s="5" t="s">
        <v>17</v>
      </c>
      <c r="B61" s="18" t="s">
        <v>292</v>
      </c>
      <c r="C61" s="23">
        <v>0</v>
      </c>
      <c r="D61" s="3">
        <f aca="true" t="shared" si="8" ref="D61:O61">SUM(D62:D71)</f>
        <v>14.42</v>
      </c>
      <c r="E61" s="3">
        <f t="shared" si="8"/>
        <v>13.95</v>
      </c>
      <c r="F61" s="3">
        <f t="shared" si="8"/>
        <v>0</v>
      </c>
      <c r="G61" s="3">
        <f>SUM(G62:G71)</f>
        <v>2.2</v>
      </c>
      <c r="H61" s="3">
        <f t="shared" si="8"/>
        <v>4.2</v>
      </c>
      <c r="I61" s="3">
        <f>SUM(I62:I71)</f>
        <v>3.9599999999999995</v>
      </c>
      <c r="J61" s="3">
        <f t="shared" si="8"/>
        <v>0</v>
      </c>
      <c r="K61" s="3">
        <f>K62+K63+K64+K65+K66:L66+K67:L67+K68+K69+K70</f>
        <v>0.54</v>
      </c>
      <c r="L61" s="3">
        <f t="shared" si="8"/>
        <v>3</v>
      </c>
      <c r="M61" s="3">
        <f t="shared" si="8"/>
        <v>1</v>
      </c>
      <c r="N61" s="3">
        <f t="shared" si="8"/>
        <v>0</v>
      </c>
      <c r="O61" s="3">
        <f t="shared" si="8"/>
        <v>0</v>
      </c>
      <c r="P61" s="2" t="s">
        <v>28</v>
      </c>
      <c r="Q61" s="19" t="s">
        <v>28</v>
      </c>
      <c r="R61" s="4"/>
      <c r="S61" s="20">
        <v>0</v>
      </c>
      <c r="T61" s="14"/>
    </row>
    <row r="62" spans="1:20" s="154" customFormat="1" ht="38.25" customHeight="1">
      <c r="A62" s="150">
        <v>39</v>
      </c>
      <c r="B62" s="148" t="s">
        <v>252</v>
      </c>
      <c r="C62" s="23" t="s">
        <v>34</v>
      </c>
      <c r="D62" s="12">
        <v>1.4300000000000002</v>
      </c>
      <c r="E62" s="12">
        <f>1.43-K62</f>
        <v>1.3699999999999999</v>
      </c>
      <c r="F62" s="12"/>
      <c r="G62" s="12">
        <v>0.11</v>
      </c>
      <c r="H62" s="12">
        <v>0.65</v>
      </c>
      <c r="I62" s="12">
        <v>0.67</v>
      </c>
      <c r="J62" s="12"/>
      <c r="K62" s="12">
        <v>0.06</v>
      </c>
      <c r="L62" s="12"/>
      <c r="M62" s="12"/>
      <c r="N62" s="12"/>
      <c r="O62" s="12"/>
      <c r="P62" s="151"/>
      <c r="Q62" s="152"/>
      <c r="R62" s="155"/>
      <c r="S62" s="153"/>
      <c r="T62" s="14"/>
    </row>
    <row r="63" spans="1:20" s="154" customFormat="1" ht="38.25" customHeight="1">
      <c r="A63" s="150">
        <v>40</v>
      </c>
      <c r="B63" s="148" t="s">
        <v>253</v>
      </c>
      <c r="C63" s="23" t="s">
        <v>88</v>
      </c>
      <c r="D63" s="12">
        <v>1.19</v>
      </c>
      <c r="E63" s="12">
        <v>1.19</v>
      </c>
      <c r="F63" s="12"/>
      <c r="G63" s="12">
        <v>0.18</v>
      </c>
      <c r="H63" s="12">
        <f>0.65-K63</f>
        <v>0.5900000000000001</v>
      </c>
      <c r="I63" s="12">
        <v>0.36</v>
      </c>
      <c r="J63" s="12"/>
      <c r="K63" s="12">
        <v>0.06</v>
      </c>
      <c r="L63" s="12"/>
      <c r="M63" s="12"/>
      <c r="N63" s="12"/>
      <c r="O63" s="12"/>
      <c r="P63" s="151"/>
      <c r="Q63" s="152"/>
      <c r="R63" s="155"/>
      <c r="S63" s="153"/>
      <c r="T63" s="14"/>
    </row>
    <row r="64" spans="1:20" s="154" customFormat="1" ht="38.25" customHeight="1">
      <c r="A64" s="150">
        <v>41</v>
      </c>
      <c r="B64" s="148" t="s">
        <v>330</v>
      </c>
      <c r="C64" s="23" t="s">
        <v>26</v>
      </c>
      <c r="D64" s="12">
        <v>0.84</v>
      </c>
      <c r="E64" s="12">
        <f>0.84-K64</f>
        <v>0.78</v>
      </c>
      <c r="F64" s="12"/>
      <c r="G64" s="12">
        <v>0.1</v>
      </c>
      <c r="H64" s="12">
        <v>0.25</v>
      </c>
      <c r="I64" s="12">
        <v>0.49</v>
      </c>
      <c r="J64" s="12"/>
      <c r="K64" s="12">
        <v>0.06</v>
      </c>
      <c r="L64" s="12"/>
      <c r="M64" s="12"/>
      <c r="N64" s="12"/>
      <c r="O64" s="12"/>
      <c r="P64" s="151"/>
      <c r="Q64" s="152"/>
      <c r="R64" s="155"/>
      <c r="S64" s="153"/>
      <c r="T64" s="14"/>
    </row>
    <row r="65" spans="1:20" s="154" customFormat="1" ht="38.25" customHeight="1">
      <c r="A65" s="150">
        <v>42</v>
      </c>
      <c r="B65" s="148" t="s">
        <v>255</v>
      </c>
      <c r="C65" s="23" t="s">
        <v>32</v>
      </c>
      <c r="D65" s="12">
        <v>1.42</v>
      </c>
      <c r="E65" s="12">
        <f>1.42-K65</f>
        <v>1.3599999999999999</v>
      </c>
      <c r="F65" s="12"/>
      <c r="G65" s="12">
        <v>0.1</v>
      </c>
      <c r="H65" s="12">
        <v>0.75</v>
      </c>
      <c r="I65" s="12">
        <v>0.57</v>
      </c>
      <c r="J65" s="12"/>
      <c r="K65" s="12">
        <v>0.06</v>
      </c>
      <c r="L65" s="12"/>
      <c r="M65" s="12"/>
      <c r="N65" s="12"/>
      <c r="O65" s="12"/>
      <c r="P65" s="151"/>
      <c r="Q65" s="152"/>
      <c r="R65" s="155"/>
      <c r="S65" s="153"/>
      <c r="T65" s="14"/>
    </row>
    <row r="66" spans="1:20" s="154" customFormat="1" ht="38.25" customHeight="1">
      <c r="A66" s="150">
        <v>43</v>
      </c>
      <c r="B66" s="148" t="s">
        <v>256</v>
      </c>
      <c r="C66" s="23" t="s">
        <v>258</v>
      </c>
      <c r="D66" s="12">
        <v>1.98</v>
      </c>
      <c r="E66" s="12">
        <f>1.98-K66</f>
        <v>1.92</v>
      </c>
      <c r="F66" s="12"/>
      <c r="G66" s="12">
        <v>0.56</v>
      </c>
      <c r="H66" s="12">
        <v>0.75</v>
      </c>
      <c r="I66" s="12">
        <v>0.67</v>
      </c>
      <c r="J66" s="12"/>
      <c r="K66" s="12">
        <v>0.06</v>
      </c>
      <c r="L66" s="12"/>
      <c r="M66" s="12"/>
      <c r="N66" s="12"/>
      <c r="O66" s="12"/>
      <c r="P66" s="151"/>
      <c r="Q66" s="152"/>
      <c r="R66" s="155"/>
      <c r="S66" s="153"/>
      <c r="T66" s="14"/>
    </row>
    <row r="67" spans="1:20" s="154" customFormat="1" ht="38.25" customHeight="1">
      <c r="A67" s="150">
        <v>44</v>
      </c>
      <c r="B67" s="148" t="s">
        <v>254</v>
      </c>
      <c r="C67" s="23" t="s">
        <v>230</v>
      </c>
      <c r="D67" s="12">
        <v>0.31</v>
      </c>
      <c r="E67" s="12">
        <f>0.31-K67</f>
        <v>0.25</v>
      </c>
      <c r="F67" s="12"/>
      <c r="G67" s="12">
        <v>0.1</v>
      </c>
      <c r="H67" s="12">
        <v>0.1</v>
      </c>
      <c r="I67" s="12">
        <v>0.11</v>
      </c>
      <c r="J67" s="12"/>
      <c r="K67" s="12">
        <v>0.06</v>
      </c>
      <c r="L67" s="12"/>
      <c r="M67" s="12"/>
      <c r="N67" s="12"/>
      <c r="O67" s="12"/>
      <c r="P67" s="153"/>
      <c r="Q67" s="152"/>
      <c r="R67" s="155"/>
      <c r="S67" s="153"/>
      <c r="T67" s="14"/>
    </row>
    <row r="68" spans="1:20" s="154" customFormat="1" ht="38.25" customHeight="1">
      <c r="A68" s="150">
        <v>45</v>
      </c>
      <c r="B68" s="148" t="s">
        <v>254</v>
      </c>
      <c r="C68" s="23" t="s">
        <v>33</v>
      </c>
      <c r="D68" s="12">
        <v>0.66</v>
      </c>
      <c r="E68" s="12">
        <f>0.66-K68</f>
        <v>0.6000000000000001</v>
      </c>
      <c r="F68" s="12"/>
      <c r="G68" s="12">
        <v>0.1</v>
      </c>
      <c r="H68" s="12">
        <v>0.23</v>
      </c>
      <c r="I68" s="12">
        <v>0.33</v>
      </c>
      <c r="J68" s="12"/>
      <c r="K68" s="12">
        <v>0.06</v>
      </c>
      <c r="L68" s="12"/>
      <c r="M68" s="12"/>
      <c r="N68" s="12"/>
      <c r="O68" s="12"/>
      <c r="P68" s="151"/>
      <c r="Q68" s="152"/>
      <c r="R68" s="155"/>
      <c r="S68" s="153"/>
      <c r="T68" s="14"/>
    </row>
    <row r="69" spans="1:20" s="154" customFormat="1" ht="38.25" customHeight="1">
      <c r="A69" s="150">
        <v>46</v>
      </c>
      <c r="B69" s="148" t="s">
        <v>254</v>
      </c>
      <c r="C69" s="23" t="s">
        <v>29</v>
      </c>
      <c r="D69" s="12">
        <v>0.34</v>
      </c>
      <c r="E69" s="12">
        <f>0.34-K69</f>
        <v>0.28</v>
      </c>
      <c r="F69" s="12"/>
      <c r="G69" s="12">
        <v>0.1</v>
      </c>
      <c r="H69" s="12">
        <v>0.13</v>
      </c>
      <c r="I69" s="12">
        <v>0.11</v>
      </c>
      <c r="J69" s="12"/>
      <c r="K69" s="12">
        <v>0.06</v>
      </c>
      <c r="L69" s="12"/>
      <c r="M69" s="12"/>
      <c r="N69" s="12"/>
      <c r="O69" s="12"/>
      <c r="P69" s="151"/>
      <c r="Q69" s="152"/>
      <c r="R69" s="155"/>
      <c r="S69" s="153"/>
      <c r="T69" s="14"/>
    </row>
    <row r="70" spans="1:20" s="154" customFormat="1" ht="38.25" customHeight="1">
      <c r="A70" s="150">
        <v>47</v>
      </c>
      <c r="B70" s="148" t="s">
        <v>329</v>
      </c>
      <c r="C70" s="23" t="s">
        <v>259</v>
      </c>
      <c r="D70" s="12">
        <v>2.25</v>
      </c>
      <c r="E70" s="12">
        <f>2.2-K693</f>
        <v>2.2</v>
      </c>
      <c r="F70" s="12"/>
      <c r="G70" s="12">
        <v>0.85</v>
      </c>
      <c r="H70" s="12">
        <v>0.75</v>
      </c>
      <c r="I70" s="12">
        <v>0.65</v>
      </c>
      <c r="J70" s="12"/>
      <c r="K70" s="12">
        <v>0.06</v>
      </c>
      <c r="L70" s="12"/>
      <c r="M70" s="12"/>
      <c r="N70" s="12"/>
      <c r="O70" s="12"/>
      <c r="P70" s="151"/>
      <c r="Q70" s="152"/>
      <c r="R70" s="155"/>
      <c r="S70" s="153"/>
      <c r="T70" s="14"/>
    </row>
    <row r="71" spans="1:20" s="154" customFormat="1" ht="38.25" customHeight="1">
      <c r="A71" s="150">
        <v>48</v>
      </c>
      <c r="B71" s="22" t="s">
        <v>53</v>
      </c>
      <c r="C71" s="23" t="s">
        <v>78</v>
      </c>
      <c r="D71" s="12">
        <v>4</v>
      </c>
      <c r="E71" s="12">
        <v>4</v>
      </c>
      <c r="F71" s="12">
        <v>0</v>
      </c>
      <c r="G71" s="12"/>
      <c r="H71" s="12">
        <v>0</v>
      </c>
      <c r="I71" s="12">
        <v>0</v>
      </c>
      <c r="J71" s="12">
        <v>0</v>
      </c>
      <c r="K71" s="12"/>
      <c r="L71" s="12">
        <v>3</v>
      </c>
      <c r="M71" s="12">
        <v>1</v>
      </c>
      <c r="N71" s="12">
        <v>0</v>
      </c>
      <c r="O71" s="12">
        <v>0</v>
      </c>
      <c r="P71" s="24">
        <v>0</v>
      </c>
      <c r="Q71" s="24">
        <v>0</v>
      </c>
      <c r="R71" s="24"/>
      <c r="S71" s="23" t="s">
        <v>221</v>
      </c>
      <c r="T71" s="14"/>
    </row>
    <row r="72" spans="1:20" s="154" customFormat="1" ht="38.25" customHeight="1">
      <c r="A72" s="150">
        <v>49</v>
      </c>
      <c r="B72" s="22" t="s">
        <v>319</v>
      </c>
      <c r="C72" s="23" t="s">
        <v>32</v>
      </c>
      <c r="D72" s="12">
        <v>1.5</v>
      </c>
      <c r="E72" s="12"/>
      <c r="F72" s="12"/>
      <c r="G72" s="12"/>
      <c r="H72" s="12">
        <v>1.5</v>
      </c>
      <c r="I72" s="12"/>
      <c r="J72" s="12"/>
      <c r="K72" s="12"/>
      <c r="L72" s="12"/>
      <c r="M72" s="12"/>
      <c r="N72" s="12"/>
      <c r="O72" s="12"/>
      <c r="P72" s="24"/>
      <c r="Q72" s="24"/>
      <c r="R72" s="24"/>
      <c r="S72" s="23"/>
      <c r="T72" s="14"/>
    </row>
    <row r="73" spans="1:20" ht="26.25" customHeight="1">
      <c r="A73" s="5" t="s">
        <v>20</v>
      </c>
      <c r="B73" s="18" t="s">
        <v>290</v>
      </c>
      <c r="C73" s="23">
        <v>0</v>
      </c>
      <c r="D73" s="3">
        <f>SUM(D74:D77)</f>
        <v>29.07</v>
      </c>
      <c r="E73" s="3">
        <f>SUM(E74:E77)</f>
        <v>30.07</v>
      </c>
      <c r="F73" s="3">
        <f>SUM(F74:F77)</f>
        <v>0</v>
      </c>
      <c r="G73" s="3"/>
      <c r="H73" s="3">
        <f>SUM(H74:H77)</f>
        <v>19</v>
      </c>
      <c r="I73" s="3">
        <f>SUM(I74:I77)</f>
        <v>0</v>
      </c>
      <c r="J73" s="3">
        <f>SUM(J74:J77)</f>
        <v>0</v>
      </c>
      <c r="K73" s="3"/>
      <c r="L73" s="3">
        <f>SUM(L74:L77)</f>
        <v>0</v>
      </c>
      <c r="M73" s="3">
        <f>SUM(M74:M77)</f>
        <v>0</v>
      </c>
      <c r="N73" s="3">
        <f>SUM(N74:N77)</f>
        <v>11.07</v>
      </c>
      <c r="O73" s="146">
        <f>SUM(O74:O77)</f>
        <v>0</v>
      </c>
      <c r="P73" s="2" t="s">
        <v>28</v>
      </c>
      <c r="Q73" s="19" t="s">
        <v>28</v>
      </c>
      <c r="R73" s="3"/>
      <c r="S73" s="20">
        <v>0</v>
      </c>
      <c r="T73" s="14"/>
    </row>
    <row r="74" spans="1:20" ht="26.25" customHeight="1">
      <c r="A74" s="21">
        <v>50</v>
      </c>
      <c r="B74" s="22" t="s">
        <v>298</v>
      </c>
      <c r="C74" s="23" t="s">
        <v>291</v>
      </c>
      <c r="D74" s="12">
        <v>4.07</v>
      </c>
      <c r="E74" s="12">
        <f>D74</f>
        <v>4.07</v>
      </c>
      <c r="F74" s="12">
        <v>0</v>
      </c>
      <c r="G74" s="12"/>
      <c r="H74" s="12">
        <v>0</v>
      </c>
      <c r="I74" s="12">
        <v>0</v>
      </c>
      <c r="J74" s="12">
        <v>0</v>
      </c>
      <c r="K74" s="12"/>
      <c r="L74" s="12">
        <v>0</v>
      </c>
      <c r="M74" s="12"/>
      <c r="N74" s="12">
        <v>4.07</v>
      </c>
      <c r="O74" s="12">
        <v>0</v>
      </c>
      <c r="P74" s="24">
        <v>0</v>
      </c>
      <c r="Q74" s="24">
        <v>0</v>
      </c>
      <c r="R74" s="24">
        <v>0</v>
      </c>
      <c r="S74" s="23" t="s">
        <v>221</v>
      </c>
      <c r="T74" s="14"/>
    </row>
    <row r="75" spans="1:20" ht="28.5" customHeight="1">
      <c r="A75" s="21">
        <v>51</v>
      </c>
      <c r="B75" s="22" t="s">
        <v>55</v>
      </c>
      <c r="C75" s="23" t="s">
        <v>289</v>
      </c>
      <c r="D75" s="12">
        <v>7</v>
      </c>
      <c r="E75" s="12">
        <v>7</v>
      </c>
      <c r="F75" s="12">
        <v>0</v>
      </c>
      <c r="G75" s="12"/>
      <c r="H75" s="12">
        <v>0</v>
      </c>
      <c r="I75" s="12">
        <v>0</v>
      </c>
      <c r="J75" s="12">
        <v>0</v>
      </c>
      <c r="K75" s="12"/>
      <c r="L75" s="12">
        <v>0</v>
      </c>
      <c r="M75" s="12"/>
      <c r="N75" s="12">
        <v>7</v>
      </c>
      <c r="O75" s="12">
        <v>0</v>
      </c>
      <c r="P75" s="24">
        <v>0</v>
      </c>
      <c r="Q75" s="24">
        <v>0</v>
      </c>
      <c r="R75" s="24">
        <v>0</v>
      </c>
      <c r="S75" s="23" t="s">
        <v>221</v>
      </c>
      <c r="T75" s="14"/>
    </row>
    <row r="76" spans="1:20" ht="26.25" customHeight="1">
      <c r="A76" s="21">
        <v>52</v>
      </c>
      <c r="B76" s="22" t="s">
        <v>56</v>
      </c>
      <c r="C76" s="23" t="s">
        <v>288</v>
      </c>
      <c r="D76" s="12">
        <v>8</v>
      </c>
      <c r="E76" s="12">
        <v>9</v>
      </c>
      <c r="F76" s="12">
        <v>0</v>
      </c>
      <c r="G76" s="12"/>
      <c r="H76" s="12">
        <v>9</v>
      </c>
      <c r="I76" s="12">
        <v>0</v>
      </c>
      <c r="J76" s="12">
        <v>0</v>
      </c>
      <c r="K76" s="12"/>
      <c r="L76" s="12">
        <v>0</v>
      </c>
      <c r="M76" s="12"/>
      <c r="N76" s="12">
        <v>0</v>
      </c>
      <c r="O76" s="12">
        <v>0</v>
      </c>
      <c r="P76" s="24">
        <v>0</v>
      </c>
      <c r="Q76" s="24">
        <v>0</v>
      </c>
      <c r="R76" s="24">
        <v>0</v>
      </c>
      <c r="S76" s="23" t="s">
        <v>221</v>
      </c>
      <c r="T76" s="14"/>
    </row>
    <row r="77" spans="1:20" ht="31.5" customHeight="1">
      <c r="A77" s="21">
        <v>53</v>
      </c>
      <c r="B77" s="22" t="s">
        <v>56</v>
      </c>
      <c r="C77" s="23" t="s">
        <v>301</v>
      </c>
      <c r="D77" s="12">
        <v>10</v>
      </c>
      <c r="E77" s="12">
        <v>10</v>
      </c>
      <c r="F77" s="12">
        <v>0</v>
      </c>
      <c r="G77" s="12"/>
      <c r="H77" s="12">
        <v>10</v>
      </c>
      <c r="I77" s="12">
        <v>0</v>
      </c>
      <c r="J77" s="12">
        <v>0</v>
      </c>
      <c r="K77" s="12"/>
      <c r="L77" s="12">
        <v>0</v>
      </c>
      <c r="M77" s="12"/>
      <c r="N77" s="12">
        <v>0</v>
      </c>
      <c r="O77" s="12">
        <v>0</v>
      </c>
      <c r="P77" s="24">
        <v>0</v>
      </c>
      <c r="Q77" s="24">
        <v>0</v>
      </c>
      <c r="R77" s="24">
        <v>0</v>
      </c>
      <c r="S77" s="23" t="s">
        <v>221</v>
      </c>
      <c r="T77" s="14"/>
    </row>
    <row r="78" spans="1:20" s="218" customFormat="1" ht="67.5" customHeight="1">
      <c r="A78" s="5" t="s">
        <v>314</v>
      </c>
      <c r="B78" s="18" t="s">
        <v>315</v>
      </c>
      <c r="C78" s="204"/>
      <c r="D78" s="204">
        <f>D79+D80+D81+D82+D83+D84</f>
        <v>7073</v>
      </c>
      <c r="E78" s="204">
        <f>SUM(E79:E84)</f>
        <v>0</v>
      </c>
      <c r="F78" s="204">
        <f>SUM(F79:F84)</f>
        <v>0</v>
      </c>
      <c r="G78" s="204">
        <f>SUM(G79:G84)</f>
        <v>0</v>
      </c>
      <c r="H78" s="204">
        <f>H79+H80+H81+H82+H83+H84</f>
        <v>7073</v>
      </c>
      <c r="I78" s="147">
        <f aca="true" t="shared" si="9" ref="I78:N78">SUM(I79:I84)</f>
        <v>0</v>
      </c>
      <c r="J78" s="147">
        <f t="shared" si="9"/>
        <v>0</v>
      </c>
      <c r="K78" s="147">
        <f t="shared" si="9"/>
        <v>0</v>
      </c>
      <c r="L78" s="147">
        <f t="shared" si="9"/>
        <v>0</v>
      </c>
      <c r="M78" s="147">
        <f t="shared" si="9"/>
        <v>0</v>
      </c>
      <c r="N78" s="147">
        <f t="shared" si="9"/>
        <v>0</v>
      </c>
      <c r="O78" s="12"/>
      <c r="P78" s="24"/>
      <c r="Q78" s="24"/>
      <c r="R78" s="24"/>
      <c r="S78" s="23"/>
      <c r="T78" s="217"/>
    </row>
    <row r="79" spans="1:20" ht="31.5" customHeight="1">
      <c r="A79" s="21">
        <v>1</v>
      </c>
      <c r="B79" s="22" t="s">
        <v>304</v>
      </c>
      <c r="C79" s="205"/>
      <c r="D79" s="205">
        <v>4219</v>
      </c>
      <c r="E79" s="12"/>
      <c r="F79" s="12"/>
      <c r="G79" s="12"/>
      <c r="H79" s="205">
        <v>4219</v>
      </c>
      <c r="I79" s="12"/>
      <c r="J79" s="12"/>
      <c r="K79" s="12"/>
      <c r="L79" s="12"/>
      <c r="M79" s="12"/>
      <c r="N79" s="12"/>
      <c r="O79" s="12"/>
      <c r="P79" s="24"/>
      <c r="Q79" s="24"/>
      <c r="R79" s="24"/>
      <c r="S79" s="23"/>
      <c r="T79" s="14"/>
    </row>
    <row r="80" spans="1:20" ht="31.5" customHeight="1">
      <c r="A80" s="21">
        <v>2</v>
      </c>
      <c r="B80" s="22" t="s">
        <v>305</v>
      </c>
      <c r="C80" s="205"/>
      <c r="D80" s="205">
        <v>217</v>
      </c>
      <c r="E80" s="12"/>
      <c r="F80" s="12"/>
      <c r="G80" s="12"/>
      <c r="H80" s="205">
        <v>217</v>
      </c>
      <c r="I80" s="12"/>
      <c r="J80" s="12"/>
      <c r="K80" s="12"/>
      <c r="L80" s="12"/>
      <c r="M80" s="12"/>
      <c r="N80" s="12"/>
      <c r="O80" s="12"/>
      <c r="P80" s="24"/>
      <c r="Q80" s="24"/>
      <c r="R80" s="24"/>
      <c r="S80" s="23"/>
      <c r="T80" s="14"/>
    </row>
    <row r="81" spans="1:20" ht="31.5" customHeight="1">
      <c r="A81" s="21">
        <v>3</v>
      </c>
      <c r="B81" s="22" t="s">
        <v>306</v>
      </c>
      <c r="C81" s="205"/>
      <c r="D81" s="205">
        <v>200</v>
      </c>
      <c r="E81" s="12"/>
      <c r="F81" s="12"/>
      <c r="G81" s="12"/>
      <c r="H81" s="205">
        <v>200</v>
      </c>
      <c r="I81" s="12"/>
      <c r="J81" s="12"/>
      <c r="K81" s="12"/>
      <c r="L81" s="12"/>
      <c r="M81" s="12"/>
      <c r="N81" s="12"/>
      <c r="O81" s="12"/>
      <c r="P81" s="24"/>
      <c r="Q81" s="24"/>
      <c r="R81" s="24"/>
      <c r="S81" s="23"/>
      <c r="T81" s="14"/>
    </row>
    <row r="82" spans="1:20" ht="31.5" customHeight="1">
      <c r="A82" s="21">
        <v>4</v>
      </c>
      <c r="B82" s="22" t="s">
        <v>307</v>
      </c>
      <c r="C82" s="205"/>
      <c r="D82" s="205">
        <v>290</v>
      </c>
      <c r="E82" s="12"/>
      <c r="F82" s="12"/>
      <c r="G82" s="12"/>
      <c r="H82" s="205">
        <v>290</v>
      </c>
      <c r="I82" s="12"/>
      <c r="J82" s="12"/>
      <c r="K82" s="12"/>
      <c r="L82" s="12"/>
      <c r="M82" s="12"/>
      <c r="N82" s="12"/>
      <c r="O82" s="12"/>
      <c r="P82" s="24"/>
      <c r="Q82" s="24"/>
      <c r="R82" s="24"/>
      <c r="S82" s="23"/>
      <c r="T82" s="14"/>
    </row>
    <row r="83" spans="1:20" ht="31.5" customHeight="1">
      <c r="A83" s="21">
        <v>5</v>
      </c>
      <c r="B83" s="22" t="s">
        <v>308</v>
      </c>
      <c r="C83" s="12"/>
      <c r="D83" s="12">
        <v>1434</v>
      </c>
      <c r="E83" s="12"/>
      <c r="F83" s="12"/>
      <c r="G83" s="12"/>
      <c r="H83" s="12">
        <v>1434</v>
      </c>
      <c r="I83" s="12"/>
      <c r="J83" s="12"/>
      <c r="K83" s="12"/>
      <c r="L83" s="12"/>
      <c r="M83" s="12"/>
      <c r="N83" s="12"/>
      <c r="O83" s="12"/>
      <c r="P83" s="24"/>
      <c r="Q83" s="24"/>
      <c r="R83" s="24"/>
      <c r="S83" s="23"/>
      <c r="T83" s="14"/>
    </row>
    <row r="84" spans="1:20" ht="31.5" customHeight="1">
      <c r="A84" s="21">
        <v>6</v>
      </c>
      <c r="B84" s="22" t="s">
        <v>309</v>
      </c>
      <c r="C84" s="12"/>
      <c r="D84" s="12">
        <v>713</v>
      </c>
      <c r="E84" s="12"/>
      <c r="F84" s="12"/>
      <c r="G84" s="12"/>
      <c r="H84" s="12">
        <v>713</v>
      </c>
      <c r="I84" s="12"/>
      <c r="J84" s="12"/>
      <c r="K84" s="12"/>
      <c r="L84" s="12"/>
      <c r="M84" s="12"/>
      <c r="N84" s="12"/>
      <c r="O84" s="12"/>
      <c r="P84" s="24"/>
      <c r="Q84" s="24"/>
      <c r="R84" s="24"/>
      <c r="S84" s="23"/>
      <c r="T84" s="14"/>
    </row>
    <row r="85" spans="1:20" s="220" customFormat="1" ht="31.5" customHeight="1">
      <c r="A85" s="5"/>
      <c r="B85" s="18" t="s">
        <v>313</v>
      </c>
      <c r="C85" s="204"/>
      <c r="D85" s="204">
        <f>D86+D87</f>
        <v>10</v>
      </c>
      <c r="E85" s="204"/>
      <c r="F85" s="204"/>
      <c r="G85" s="204">
        <f>SUM(G92:G97)</f>
        <v>0</v>
      </c>
      <c r="H85" s="204"/>
      <c r="I85" s="3"/>
      <c r="J85" s="3"/>
      <c r="K85" s="3"/>
      <c r="L85" s="3"/>
      <c r="M85" s="3">
        <f>M86+M87</f>
        <v>7</v>
      </c>
      <c r="N85" s="3"/>
      <c r="O85" s="3"/>
      <c r="P85" s="157"/>
      <c r="Q85" s="157"/>
      <c r="R85" s="157"/>
      <c r="S85" s="147"/>
      <c r="T85" s="219"/>
    </row>
    <row r="86" spans="1:20" ht="31.5" customHeight="1">
      <c r="A86" s="150">
        <v>1</v>
      </c>
      <c r="B86" s="148" t="s">
        <v>310</v>
      </c>
      <c r="C86" s="205"/>
      <c r="D86" s="205">
        <v>7</v>
      </c>
      <c r="E86" s="204"/>
      <c r="F86" s="204"/>
      <c r="G86" s="204"/>
      <c r="H86" s="204"/>
      <c r="I86" s="12"/>
      <c r="J86" s="12"/>
      <c r="K86" s="12"/>
      <c r="L86" s="12"/>
      <c r="M86" s="12">
        <v>7</v>
      </c>
      <c r="N86" s="12"/>
      <c r="O86" s="12"/>
      <c r="P86" s="24"/>
      <c r="Q86" s="24"/>
      <c r="R86" s="24"/>
      <c r="S86" s="23"/>
      <c r="T86" s="14"/>
    </row>
    <row r="87" spans="1:20" ht="31.5" customHeight="1">
      <c r="A87" s="150">
        <v>2</v>
      </c>
      <c r="B87" s="148" t="s">
        <v>311</v>
      </c>
      <c r="C87" s="205"/>
      <c r="D87" s="205">
        <v>3</v>
      </c>
      <c r="E87" s="204"/>
      <c r="F87" s="205">
        <v>1</v>
      </c>
      <c r="G87" s="205">
        <v>1</v>
      </c>
      <c r="H87" s="205">
        <v>1</v>
      </c>
      <c r="I87" s="12"/>
      <c r="J87" s="12"/>
      <c r="K87" s="12"/>
      <c r="L87" s="12"/>
      <c r="M87" s="12">
        <v>0</v>
      </c>
      <c r="N87" s="12"/>
      <c r="O87" s="12"/>
      <c r="P87" s="24"/>
      <c r="Q87" s="24"/>
      <c r="R87" s="24"/>
      <c r="S87" s="23"/>
      <c r="T87" s="14"/>
    </row>
    <row r="88" spans="1:20" ht="31.5" customHeight="1">
      <c r="A88" s="150">
        <v>3</v>
      </c>
      <c r="B88" s="148" t="s">
        <v>312</v>
      </c>
      <c r="C88" s="207"/>
      <c r="D88" s="205">
        <v>0.3</v>
      </c>
      <c r="E88" s="204"/>
      <c r="F88" s="205"/>
      <c r="G88" s="205"/>
      <c r="H88" s="205"/>
      <c r="I88" s="12">
        <v>0.3</v>
      </c>
      <c r="J88" s="12"/>
      <c r="K88" s="12"/>
      <c r="L88" s="12"/>
      <c r="M88" s="12"/>
      <c r="N88" s="12"/>
      <c r="O88" s="12"/>
      <c r="P88" s="24"/>
      <c r="Q88" s="24"/>
      <c r="R88" s="24"/>
      <c r="S88" s="23"/>
      <c r="T88" s="14"/>
    </row>
    <row r="89" spans="1:20" ht="31.5" customHeight="1">
      <c r="A89" s="150"/>
      <c r="B89" s="18" t="s">
        <v>45</v>
      </c>
      <c r="C89" s="207"/>
      <c r="D89" s="204">
        <f>D90</f>
        <v>50</v>
      </c>
      <c r="E89" s="208">
        <f>E90</f>
        <v>0</v>
      </c>
      <c r="F89" s="208">
        <f>F90</f>
        <v>0</v>
      </c>
      <c r="G89" s="208">
        <f>G90</f>
        <v>0</v>
      </c>
      <c r="H89" s="204">
        <f>H90</f>
        <v>50</v>
      </c>
      <c r="I89" s="12"/>
      <c r="J89" s="12"/>
      <c r="K89" s="12"/>
      <c r="L89" s="12"/>
      <c r="M89" s="12"/>
      <c r="N89" s="12"/>
      <c r="O89" s="12"/>
      <c r="P89" s="24"/>
      <c r="Q89" s="24"/>
      <c r="R89" s="24"/>
      <c r="S89" s="23"/>
      <c r="T89" s="14"/>
    </row>
    <row r="90" spans="1:20" s="218" customFormat="1" ht="31.5" customHeight="1">
      <c r="A90" s="150"/>
      <c r="B90" s="148" t="s">
        <v>317</v>
      </c>
      <c r="C90" s="221" t="s">
        <v>34</v>
      </c>
      <c r="D90" s="205">
        <v>50</v>
      </c>
      <c r="E90" s="204"/>
      <c r="F90" s="205"/>
      <c r="G90" s="205"/>
      <c r="H90" s="205">
        <v>50</v>
      </c>
      <c r="I90" s="12"/>
      <c r="J90" s="12"/>
      <c r="K90" s="12"/>
      <c r="L90" s="12"/>
      <c r="M90" s="12"/>
      <c r="N90" s="12"/>
      <c r="O90" s="12"/>
      <c r="P90" s="24"/>
      <c r="Q90" s="24"/>
      <c r="R90" s="24"/>
      <c r="S90" s="23"/>
      <c r="T90" s="217"/>
    </row>
    <row r="91" spans="1:20" s="206" customFormat="1" ht="31.5" customHeight="1">
      <c r="A91" s="5"/>
      <c r="B91" s="148" t="s">
        <v>316</v>
      </c>
      <c r="C91" s="208"/>
      <c r="D91" s="207">
        <v>7200</v>
      </c>
      <c r="E91" s="204"/>
      <c r="F91" s="204"/>
      <c r="G91" s="204"/>
      <c r="H91" s="204"/>
      <c r="I91" s="3"/>
      <c r="J91" s="3"/>
      <c r="K91" s="3"/>
      <c r="L91" s="3"/>
      <c r="M91" s="3"/>
      <c r="N91" s="3"/>
      <c r="O91" s="3"/>
      <c r="P91" s="157"/>
      <c r="Q91" s="157"/>
      <c r="R91" s="157"/>
      <c r="S91" s="147"/>
      <c r="T91" s="111"/>
    </row>
    <row r="92" spans="1:20" ht="26.25" customHeight="1">
      <c r="A92" s="8"/>
      <c r="B92" s="276" t="s">
        <v>67</v>
      </c>
      <c r="C92" s="276"/>
      <c r="D92" s="276"/>
      <c r="E92" s="276"/>
      <c r="F92" s="276"/>
      <c r="G92" s="276"/>
      <c r="H92" s="276"/>
      <c r="I92" s="276"/>
      <c r="J92" s="276"/>
      <c r="K92" s="276"/>
      <c r="L92" s="276"/>
      <c r="M92" s="276"/>
      <c r="N92" s="276"/>
      <c r="O92" s="276"/>
      <c r="P92" s="276"/>
      <c r="Q92" s="276"/>
      <c r="R92" s="276"/>
      <c r="S92" s="276"/>
      <c r="T92" s="209"/>
    </row>
    <row r="93" spans="1:20" ht="26.25" customHeight="1">
      <c r="A93" s="21">
        <v>1</v>
      </c>
      <c r="B93" s="27" t="s">
        <v>68</v>
      </c>
      <c r="C93" s="9" t="s">
        <v>26</v>
      </c>
      <c r="D93" s="12">
        <v>30</v>
      </c>
      <c r="E93" s="12">
        <v>30</v>
      </c>
      <c r="F93" s="12">
        <v>2.2</v>
      </c>
      <c r="G93" s="12"/>
      <c r="H93" s="12">
        <v>23.8</v>
      </c>
      <c r="I93" s="12">
        <v>2</v>
      </c>
      <c r="J93" s="12">
        <v>0</v>
      </c>
      <c r="K93" s="12">
        <v>2</v>
      </c>
      <c r="L93" s="12"/>
      <c r="M93" s="12"/>
      <c r="N93" s="12">
        <v>0.5</v>
      </c>
      <c r="O93" s="106"/>
      <c r="P93" s="12"/>
      <c r="Q93" s="12"/>
      <c r="R93" s="28"/>
      <c r="S93" s="23" t="s">
        <v>221</v>
      </c>
      <c r="T93" s="210"/>
    </row>
    <row r="94" spans="1:20" ht="26.25" customHeight="1">
      <c r="A94" s="21">
        <v>2</v>
      </c>
      <c r="B94" s="251" t="s">
        <v>333</v>
      </c>
      <c r="C94" s="9" t="s">
        <v>69</v>
      </c>
      <c r="D94" s="12">
        <v>1.5</v>
      </c>
      <c r="E94" s="12">
        <v>1.5</v>
      </c>
      <c r="F94" s="12"/>
      <c r="G94" s="12"/>
      <c r="H94" s="12">
        <v>1.5</v>
      </c>
      <c r="I94" s="12"/>
      <c r="J94" s="12"/>
      <c r="K94" s="12"/>
      <c r="L94" s="12"/>
      <c r="M94" s="12"/>
      <c r="N94" s="12"/>
      <c r="O94" s="106"/>
      <c r="P94" s="12"/>
      <c r="Q94" s="12"/>
      <c r="R94" s="28"/>
      <c r="S94" s="23" t="s">
        <v>221</v>
      </c>
      <c r="T94" s="210"/>
    </row>
    <row r="95" spans="1:20" ht="26.25" customHeight="1">
      <c r="A95" s="21">
        <v>3</v>
      </c>
      <c r="B95" s="27" t="s">
        <v>326</v>
      </c>
      <c r="C95" s="9" t="s">
        <v>70</v>
      </c>
      <c r="D95" s="12">
        <v>0.1</v>
      </c>
      <c r="E95" s="12">
        <v>0.1</v>
      </c>
      <c r="F95" s="12"/>
      <c r="G95" s="12"/>
      <c r="H95" s="12">
        <v>0.1</v>
      </c>
      <c r="I95" s="12"/>
      <c r="J95" s="12"/>
      <c r="K95" s="12"/>
      <c r="L95" s="12"/>
      <c r="M95" s="12"/>
      <c r="N95" s="12"/>
      <c r="O95" s="106"/>
      <c r="P95" s="12"/>
      <c r="Q95" s="12"/>
      <c r="R95" s="28"/>
      <c r="S95" s="23" t="s">
        <v>221</v>
      </c>
      <c r="T95" s="210"/>
    </row>
    <row r="96" spans="1:20" ht="26.25" customHeight="1">
      <c r="A96" s="21">
        <v>4</v>
      </c>
      <c r="B96" s="27" t="s">
        <v>71</v>
      </c>
      <c r="C96" s="9" t="s">
        <v>72</v>
      </c>
      <c r="D96" s="12">
        <v>5</v>
      </c>
      <c r="E96" s="12">
        <v>5</v>
      </c>
      <c r="F96" s="12"/>
      <c r="G96" s="12"/>
      <c r="H96" s="12">
        <v>5</v>
      </c>
      <c r="I96" s="12"/>
      <c r="J96" s="12"/>
      <c r="K96" s="12"/>
      <c r="L96" s="12"/>
      <c r="M96" s="12"/>
      <c r="N96" s="12"/>
      <c r="O96" s="106"/>
      <c r="P96" s="12"/>
      <c r="Q96" s="12"/>
      <c r="R96" s="28"/>
      <c r="S96" s="23" t="s">
        <v>221</v>
      </c>
      <c r="T96" s="210"/>
    </row>
    <row r="97" spans="1:20" ht="36" customHeight="1">
      <c r="A97" s="21">
        <v>5</v>
      </c>
      <c r="B97" s="27" t="s">
        <v>73</v>
      </c>
      <c r="C97" s="108" t="s">
        <v>325</v>
      </c>
      <c r="D97" s="12">
        <v>3</v>
      </c>
      <c r="E97" s="12">
        <v>3</v>
      </c>
      <c r="F97" s="12"/>
      <c r="G97" s="12"/>
      <c r="H97" s="12">
        <v>3</v>
      </c>
      <c r="I97" s="12"/>
      <c r="J97" s="12"/>
      <c r="K97" s="12"/>
      <c r="L97" s="12"/>
      <c r="M97" s="12"/>
      <c r="N97" s="12"/>
      <c r="O97" s="106"/>
      <c r="P97" s="12"/>
      <c r="Q97" s="12"/>
      <c r="R97" s="28"/>
      <c r="S97" s="23" t="s">
        <v>221</v>
      </c>
      <c r="T97" s="210"/>
    </row>
    <row r="98" spans="1:20" ht="26.25" customHeight="1">
      <c r="A98" s="21">
        <v>6</v>
      </c>
      <c r="B98" s="27" t="s">
        <v>74</v>
      </c>
      <c r="C98" s="9" t="s">
        <v>75</v>
      </c>
      <c r="D98" s="12">
        <v>150</v>
      </c>
      <c r="E98" s="12">
        <v>150</v>
      </c>
      <c r="F98" s="12"/>
      <c r="G98" s="12"/>
      <c r="H98" s="12">
        <v>150</v>
      </c>
      <c r="I98" s="12"/>
      <c r="J98" s="12"/>
      <c r="K98" s="12"/>
      <c r="L98" s="12"/>
      <c r="M98" s="12"/>
      <c r="N98" s="12"/>
      <c r="O98" s="106"/>
      <c r="P98" s="12"/>
      <c r="Q98" s="12"/>
      <c r="R98" s="28"/>
      <c r="S98" s="23" t="s">
        <v>221</v>
      </c>
      <c r="T98" s="210"/>
    </row>
    <row r="99" spans="1:20" ht="26.25" customHeight="1">
      <c r="A99" s="21">
        <v>7</v>
      </c>
      <c r="B99" s="27" t="s">
        <v>76</v>
      </c>
      <c r="C99" s="9" t="s">
        <v>220</v>
      </c>
      <c r="D99" s="12">
        <v>75</v>
      </c>
      <c r="E99" s="12">
        <v>75</v>
      </c>
      <c r="F99" s="12"/>
      <c r="G99" s="12"/>
      <c r="H99" s="12">
        <v>75</v>
      </c>
      <c r="I99" s="12"/>
      <c r="J99" s="12"/>
      <c r="K99" s="12"/>
      <c r="L99" s="12"/>
      <c r="M99" s="12"/>
      <c r="N99" s="12"/>
      <c r="O99" s="106"/>
      <c r="P99" s="12"/>
      <c r="Q99" s="12"/>
      <c r="R99" s="28"/>
      <c r="S99" s="23" t="s">
        <v>221</v>
      </c>
      <c r="T99" s="210"/>
    </row>
    <row r="100" spans="1:20" s="226" customFormat="1" ht="26.25" customHeight="1">
      <c r="A100" s="8"/>
      <c r="B100" s="8" t="s">
        <v>280</v>
      </c>
      <c r="C100" s="8"/>
      <c r="D100" s="222">
        <f>SUM(D93:D99)</f>
        <v>264.6</v>
      </c>
      <c r="E100" s="222">
        <f aca="true" t="shared" si="10" ref="E100:Q100">SUM(E93:E99)</f>
        <v>264.6</v>
      </c>
      <c r="F100" s="222">
        <f t="shared" si="10"/>
        <v>2.2</v>
      </c>
      <c r="G100" s="222"/>
      <c r="H100" s="222">
        <f t="shared" si="10"/>
        <v>258.4</v>
      </c>
      <c r="I100" s="222">
        <f t="shared" si="10"/>
        <v>2</v>
      </c>
      <c r="J100" s="222">
        <f t="shared" si="10"/>
        <v>0</v>
      </c>
      <c r="K100" s="222"/>
      <c r="L100" s="222">
        <f t="shared" si="10"/>
        <v>0</v>
      </c>
      <c r="M100" s="222"/>
      <c r="N100" s="222">
        <f>SUM(N93:N99)</f>
        <v>0.5</v>
      </c>
      <c r="O100" s="223"/>
      <c r="P100" s="224">
        <f t="shared" si="10"/>
        <v>0</v>
      </c>
      <c r="Q100" s="222">
        <f t="shared" si="10"/>
        <v>0</v>
      </c>
      <c r="R100" s="8"/>
      <c r="S100" s="8"/>
      <c r="T100" s="225"/>
    </row>
  </sheetData>
  <sheetProtection/>
  <mergeCells count="13">
    <mergeCell ref="A1:B1"/>
    <mergeCell ref="R2:S2"/>
    <mergeCell ref="P3:P4"/>
    <mergeCell ref="Q3:Q4"/>
    <mergeCell ref="S3:S4"/>
    <mergeCell ref="F3:O3"/>
    <mergeCell ref="R3:R4"/>
    <mergeCell ref="A3:A4"/>
    <mergeCell ref="B3:B4"/>
    <mergeCell ref="B92:S92"/>
    <mergeCell ref="C3:C4"/>
    <mergeCell ref="D3:D4"/>
    <mergeCell ref="E3:E4"/>
  </mergeCells>
  <printOptions horizontalCentered="1"/>
  <pageMargins left="0.3937007874015748" right="0.1968503937007874" top="0.3937007874015748" bottom="0.1968503937007874" header="0.31496062992125984" footer="0.31496062992125984"/>
  <pageSetup horizontalDpi="1200" verticalDpi="1200" orientation="landscape" scale="50" r:id="rId1"/>
</worksheet>
</file>

<file path=xl/worksheets/sheet10.xml><?xml version="1.0" encoding="utf-8"?>
<worksheet xmlns="http://schemas.openxmlformats.org/spreadsheetml/2006/main" xmlns:r="http://schemas.openxmlformats.org/officeDocument/2006/relationships">
  <dimension ref="A3:H37"/>
  <sheetViews>
    <sheetView zoomScalePageLayoutView="0" workbookViewId="0" topLeftCell="A1">
      <selection activeCell="I10" sqref="I10"/>
    </sheetView>
  </sheetViews>
  <sheetFormatPr defaultColWidth="9.140625" defaultRowHeight="15"/>
  <cols>
    <col min="2" max="2" width="48.8515625" style="0" customWidth="1"/>
    <col min="3" max="3" width="17.140625" style="0" customWidth="1"/>
    <col min="4" max="4" width="13.28125" style="0" customWidth="1"/>
    <col min="5" max="5" width="12.7109375" style="0" customWidth="1"/>
    <col min="6" max="6" width="16.28125" style="0" customWidth="1"/>
  </cols>
  <sheetData>
    <row r="2" ht="15.75" thickBot="1"/>
    <row r="3" spans="1:7" ht="27.75" customHeight="1">
      <c r="A3" s="307" t="s">
        <v>83</v>
      </c>
      <c r="B3" s="307" t="s">
        <v>84</v>
      </c>
      <c r="C3" s="307" t="s">
        <v>85</v>
      </c>
      <c r="D3" s="307" t="s">
        <v>270</v>
      </c>
      <c r="E3" s="307" t="s">
        <v>271</v>
      </c>
      <c r="F3" s="164" t="s">
        <v>275</v>
      </c>
      <c r="G3" s="310"/>
    </row>
    <row r="4" spans="1:7" ht="28.5" customHeight="1">
      <c r="A4" s="308"/>
      <c r="B4" s="308"/>
      <c r="C4" s="308"/>
      <c r="D4" s="308"/>
      <c r="E4" s="308"/>
      <c r="F4" s="165" t="s">
        <v>276</v>
      </c>
      <c r="G4" s="310"/>
    </row>
    <row r="5" spans="1:7" ht="15.75" thickBot="1">
      <c r="A5" s="309"/>
      <c r="B5" s="309"/>
      <c r="C5" s="311"/>
      <c r="D5" s="311"/>
      <c r="E5" s="309"/>
      <c r="F5" s="166" t="s">
        <v>277</v>
      </c>
      <c r="G5" s="167"/>
    </row>
    <row r="6" spans="1:7" ht="15.75" thickBot="1">
      <c r="A6" s="168">
        <v>-1</v>
      </c>
      <c r="B6" s="169">
        <v>-2</v>
      </c>
      <c r="C6" s="169">
        <v>-3</v>
      </c>
      <c r="D6" s="169">
        <v>-4</v>
      </c>
      <c r="E6" s="169">
        <v>-5</v>
      </c>
      <c r="F6" s="169" t="s">
        <v>167</v>
      </c>
      <c r="G6" s="167"/>
    </row>
    <row r="7" spans="1:7" ht="15.75" thickBot="1">
      <c r="A7" s="170">
        <v>1</v>
      </c>
      <c r="B7" s="171" t="s">
        <v>103</v>
      </c>
      <c r="C7" s="172" t="s">
        <v>104</v>
      </c>
      <c r="D7" s="181">
        <f>D8+D10+D11+D12+D13+D14+D15</f>
        <v>79499.15</v>
      </c>
      <c r="E7" s="180">
        <f>'03CH'!D9</f>
        <v>79610.73000000001</v>
      </c>
      <c r="F7" s="181">
        <f>E7-D7</f>
        <v>111.5800000000163</v>
      </c>
      <c r="G7" s="185"/>
    </row>
    <row r="8" spans="1:7" ht="15.75" thickBot="1">
      <c r="A8" s="173" t="s">
        <v>105</v>
      </c>
      <c r="B8" s="174" t="s">
        <v>106</v>
      </c>
      <c r="C8" s="175" t="s">
        <v>107</v>
      </c>
      <c r="D8" s="182">
        <v>6859.26</v>
      </c>
      <c r="E8" s="163">
        <v>6855.52</v>
      </c>
      <c r="F8" s="182">
        <f>E8-D8</f>
        <v>-3.7399999999997817</v>
      </c>
      <c r="G8" s="167"/>
    </row>
    <row r="9" spans="1:7" ht="15.75" thickBot="1">
      <c r="A9" s="173"/>
      <c r="B9" s="176" t="s">
        <v>108</v>
      </c>
      <c r="C9" s="177" t="s">
        <v>6</v>
      </c>
      <c r="D9" s="183">
        <v>3006.46</v>
      </c>
      <c r="E9" s="178">
        <v>3006.46</v>
      </c>
      <c r="F9" s="182">
        <f aca="true" t="shared" si="0" ref="F9:F35">E9-D9</f>
        <v>0</v>
      </c>
      <c r="G9" s="167"/>
    </row>
    <row r="10" spans="1:7" ht="15.75" thickBot="1">
      <c r="A10" s="173" t="s">
        <v>109</v>
      </c>
      <c r="B10" s="174" t="s">
        <v>110</v>
      </c>
      <c r="C10" s="175" t="s">
        <v>7</v>
      </c>
      <c r="D10" s="182">
        <f>21130.25-19.98</f>
        <v>21110.27</v>
      </c>
      <c r="E10" s="189">
        <f>'03CH'!D12</f>
        <v>20597.760000000002</v>
      </c>
      <c r="F10" s="182">
        <f t="shared" si="0"/>
        <v>-512.5099999999984</v>
      </c>
      <c r="G10" s="167"/>
    </row>
    <row r="11" spans="1:7" ht="15.75" thickBot="1">
      <c r="A11" s="173" t="s">
        <v>111</v>
      </c>
      <c r="B11" s="174" t="s">
        <v>112</v>
      </c>
      <c r="C11" s="175" t="s">
        <v>8</v>
      </c>
      <c r="D11" s="182">
        <v>2952.91</v>
      </c>
      <c r="E11" s="189">
        <f>'03CH'!D13</f>
        <v>2924.5400000000004</v>
      </c>
      <c r="F11" s="182">
        <f>E11-D11</f>
        <v>-28.369999999999436</v>
      </c>
      <c r="G11" s="167"/>
    </row>
    <row r="12" spans="1:7" ht="15.75" thickBot="1">
      <c r="A12" s="173" t="s">
        <v>113</v>
      </c>
      <c r="B12" s="174" t="s">
        <v>114</v>
      </c>
      <c r="C12" s="175" t="s">
        <v>115</v>
      </c>
      <c r="D12" s="182">
        <v>5320.44</v>
      </c>
      <c r="E12" s="163">
        <v>5320.44</v>
      </c>
      <c r="F12" s="182">
        <f t="shared" si="0"/>
        <v>0</v>
      </c>
      <c r="G12" s="167"/>
    </row>
    <row r="13" spans="1:8" ht="15.75" thickBot="1">
      <c r="A13" s="173" t="s">
        <v>116</v>
      </c>
      <c r="B13" s="174" t="s">
        <v>42</v>
      </c>
      <c r="C13" s="175" t="s">
        <v>9</v>
      </c>
      <c r="D13" s="182">
        <f>43173.76+19.98</f>
        <v>43193.740000000005</v>
      </c>
      <c r="E13" s="189">
        <f>'03CH'!D15</f>
        <v>43851.94000000001</v>
      </c>
      <c r="F13" s="182">
        <f>E13-D13</f>
        <v>658.2000000000044</v>
      </c>
      <c r="G13" s="185"/>
      <c r="H13" s="184"/>
    </row>
    <row r="14" spans="1:7" ht="15.75" thickBot="1">
      <c r="A14" s="173" t="s">
        <v>117</v>
      </c>
      <c r="B14" s="174" t="s">
        <v>119</v>
      </c>
      <c r="C14" s="175" t="s">
        <v>120</v>
      </c>
      <c r="D14" s="182">
        <v>17.53</v>
      </c>
      <c r="E14" s="163">
        <v>15.53</v>
      </c>
      <c r="F14" s="182">
        <f t="shared" si="0"/>
        <v>-2.0000000000000018</v>
      </c>
      <c r="G14" s="185"/>
    </row>
    <row r="15" spans="1:7" ht="15.75" thickBot="1">
      <c r="A15" s="173" t="s">
        <v>118</v>
      </c>
      <c r="B15" s="174" t="s">
        <v>45</v>
      </c>
      <c r="C15" s="175" t="s">
        <v>10</v>
      </c>
      <c r="D15" s="182">
        <v>45</v>
      </c>
      <c r="E15" s="163">
        <v>45</v>
      </c>
      <c r="F15" s="182">
        <f t="shared" si="0"/>
        <v>0</v>
      </c>
      <c r="G15" s="167"/>
    </row>
    <row r="16" spans="1:8" ht="15.75" thickBot="1">
      <c r="A16" s="170">
        <v>2</v>
      </c>
      <c r="B16" s="171" t="s">
        <v>121</v>
      </c>
      <c r="C16" s="172" t="s">
        <v>122</v>
      </c>
      <c r="D16" s="181">
        <f>SUM(D17:D33)</f>
        <v>3549.2500000000005</v>
      </c>
      <c r="E16" s="181">
        <f>'03CH'!D18</f>
        <v>3729.1800000000003</v>
      </c>
      <c r="F16" s="181">
        <f>E16-D16</f>
        <v>179.92999999999984</v>
      </c>
      <c r="G16" s="185"/>
      <c r="H16" s="184"/>
    </row>
    <row r="17" spans="1:7" ht="15.75" thickBot="1">
      <c r="A17" s="173" t="s">
        <v>123</v>
      </c>
      <c r="B17" s="174" t="s">
        <v>124</v>
      </c>
      <c r="C17" s="175" t="s">
        <v>125</v>
      </c>
      <c r="D17" s="182">
        <v>2.53</v>
      </c>
      <c r="E17" s="182">
        <v>28.03</v>
      </c>
      <c r="F17" s="182">
        <f t="shared" si="0"/>
        <v>25.5</v>
      </c>
      <c r="G17" s="185"/>
    </row>
    <row r="18" spans="1:7" ht="15.75" thickBot="1">
      <c r="A18" s="173" t="s">
        <v>126</v>
      </c>
      <c r="B18" s="174" t="s">
        <v>127</v>
      </c>
      <c r="C18" s="175" t="s">
        <v>128</v>
      </c>
      <c r="D18" s="182">
        <v>2.14</v>
      </c>
      <c r="E18" s="182">
        <v>2.14</v>
      </c>
      <c r="F18" s="182">
        <f t="shared" si="0"/>
        <v>0</v>
      </c>
      <c r="G18" s="167"/>
    </row>
    <row r="19" spans="1:7" ht="15.75" thickBot="1">
      <c r="A19" s="173" t="s">
        <v>129</v>
      </c>
      <c r="B19" s="174" t="s">
        <v>24</v>
      </c>
      <c r="C19" s="175" t="s">
        <v>11</v>
      </c>
      <c r="D19" s="182">
        <v>0</v>
      </c>
      <c r="E19" s="182">
        <v>30</v>
      </c>
      <c r="F19" s="182">
        <f t="shared" si="0"/>
        <v>30</v>
      </c>
      <c r="G19" s="167"/>
    </row>
    <row r="20" spans="1:7" ht="15.75" thickBot="1">
      <c r="A20" s="173" t="s">
        <v>130</v>
      </c>
      <c r="B20" s="174" t="s">
        <v>46</v>
      </c>
      <c r="C20" s="175" t="s">
        <v>12</v>
      </c>
      <c r="D20" s="182">
        <v>0</v>
      </c>
      <c r="E20" s="182">
        <v>71</v>
      </c>
      <c r="F20" s="182">
        <f t="shared" si="0"/>
        <v>71</v>
      </c>
      <c r="G20" s="167"/>
    </row>
    <row r="21" spans="1:7" ht="15.75" thickBot="1">
      <c r="A21" s="173" t="s">
        <v>131</v>
      </c>
      <c r="B21" s="174" t="s">
        <v>134</v>
      </c>
      <c r="C21" s="175" t="s">
        <v>135</v>
      </c>
      <c r="D21" s="182">
        <f>67.72-0.5</f>
        <v>67.22</v>
      </c>
      <c r="E21" s="182">
        <v>69.22</v>
      </c>
      <c r="F21" s="182">
        <f t="shared" si="0"/>
        <v>2</v>
      </c>
      <c r="G21" s="167"/>
    </row>
    <row r="22" spans="1:7" ht="15.75" thickBot="1">
      <c r="A22" s="173" t="s">
        <v>132</v>
      </c>
      <c r="B22" s="174" t="s">
        <v>137</v>
      </c>
      <c r="C22" s="175" t="s">
        <v>138</v>
      </c>
      <c r="D22" s="182">
        <v>34.63</v>
      </c>
      <c r="E22" s="182">
        <f>'03CH'!D32</f>
        <v>47.47</v>
      </c>
      <c r="F22" s="182">
        <f t="shared" si="0"/>
        <v>12.839999999999996</v>
      </c>
      <c r="G22" s="167"/>
    </row>
    <row r="23" spans="1:7" ht="15.75" thickBot="1">
      <c r="A23" s="173" t="s">
        <v>278</v>
      </c>
      <c r="B23" s="174" t="s">
        <v>279</v>
      </c>
      <c r="C23" s="175" t="s">
        <v>141</v>
      </c>
      <c r="D23" s="182">
        <v>620.49</v>
      </c>
      <c r="E23" s="182">
        <v>645.6</v>
      </c>
      <c r="F23" s="182">
        <f t="shared" si="0"/>
        <v>25.110000000000014</v>
      </c>
      <c r="G23" s="167"/>
    </row>
    <row r="24" spans="1:7" ht="15.75" thickBot="1">
      <c r="A24" s="173" t="s">
        <v>136</v>
      </c>
      <c r="B24" s="174" t="s">
        <v>37</v>
      </c>
      <c r="C24" s="175" t="s">
        <v>16</v>
      </c>
      <c r="D24" s="182">
        <v>5</v>
      </c>
      <c r="E24" s="182">
        <v>5</v>
      </c>
      <c r="F24" s="182">
        <f t="shared" si="0"/>
        <v>0</v>
      </c>
      <c r="G24" s="167"/>
    </row>
    <row r="25" spans="1:7" ht="15.75" thickBot="1">
      <c r="A25" s="173" t="s">
        <v>139</v>
      </c>
      <c r="B25" s="174" t="s">
        <v>52</v>
      </c>
      <c r="C25" s="175" t="s">
        <v>17</v>
      </c>
      <c r="D25" s="182">
        <v>909.4</v>
      </c>
      <c r="E25" s="182">
        <v>930.45</v>
      </c>
      <c r="F25" s="182">
        <f>E25-D25</f>
        <v>21.050000000000068</v>
      </c>
      <c r="G25" s="185"/>
    </row>
    <row r="26" spans="1:7" ht="15.75" thickBot="1">
      <c r="A26" s="173" t="s">
        <v>142</v>
      </c>
      <c r="B26" s="174" t="s">
        <v>148</v>
      </c>
      <c r="C26" s="175" t="s">
        <v>18</v>
      </c>
      <c r="D26" s="182">
        <v>32.91</v>
      </c>
      <c r="E26" s="182">
        <v>29.91</v>
      </c>
      <c r="F26" s="182">
        <f>E26-D26</f>
        <v>-2.9999999999999964</v>
      </c>
      <c r="G26" s="167"/>
    </row>
    <row r="27" spans="1:7" ht="15.75" thickBot="1">
      <c r="A27" s="173" t="s">
        <v>143</v>
      </c>
      <c r="B27" s="174" t="s">
        <v>150</v>
      </c>
      <c r="C27" s="175" t="s">
        <v>151</v>
      </c>
      <c r="D27" s="182">
        <v>1.91</v>
      </c>
      <c r="E27" s="182">
        <v>1.91</v>
      </c>
      <c r="F27" s="182">
        <f t="shared" si="0"/>
        <v>0</v>
      </c>
      <c r="G27" s="167"/>
    </row>
    <row r="28" spans="1:7" ht="15.75" thickBot="1">
      <c r="A28" s="173" t="s">
        <v>144</v>
      </c>
      <c r="B28" s="174" t="s">
        <v>153</v>
      </c>
      <c r="C28" s="175" t="s">
        <v>154</v>
      </c>
      <c r="D28" s="182">
        <v>1.46</v>
      </c>
      <c r="E28" s="182">
        <v>3.09</v>
      </c>
      <c r="F28" s="182">
        <f t="shared" si="0"/>
        <v>1.63</v>
      </c>
      <c r="G28" s="167"/>
    </row>
    <row r="29" spans="1:7" ht="15.75" thickBot="1">
      <c r="A29" s="173" t="s">
        <v>145</v>
      </c>
      <c r="B29" s="174" t="s">
        <v>38</v>
      </c>
      <c r="C29" s="175" t="s">
        <v>19</v>
      </c>
      <c r="D29" s="182">
        <v>47.9</v>
      </c>
      <c r="E29" s="182">
        <v>53.4</v>
      </c>
      <c r="F29" s="182">
        <f t="shared" si="0"/>
        <v>5.5</v>
      </c>
      <c r="G29" s="167"/>
    </row>
    <row r="30" spans="1:7" ht="15.75" thickBot="1">
      <c r="A30" s="173" t="s">
        <v>146</v>
      </c>
      <c r="B30" s="174" t="s">
        <v>54</v>
      </c>
      <c r="C30" s="175" t="s">
        <v>20</v>
      </c>
      <c r="D30" s="182">
        <v>13.2</v>
      </c>
      <c r="E30" s="182">
        <v>29.47</v>
      </c>
      <c r="F30" s="182">
        <f t="shared" si="0"/>
        <v>16.27</v>
      </c>
      <c r="G30" s="167"/>
    </row>
    <row r="31" spans="1:7" ht="15.75" thickBot="1">
      <c r="A31" s="173" t="s">
        <v>147</v>
      </c>
      <c r="B31" s="174" t="s">
        <v>41</v>
      </c>
      <c r="C31" s="175" t="s">
        <v>21</v>
      </c>
      <c r="D31" s="182">
        <v>1.51</v>
      </c>
      <c r="E31" s="182">
        <v>2.45</v>
      </c>
      <c r="F31" s="182">
        <f t="shared" si="0"/>
        <v>0.9400000000000002</v>
      </c>
      <c r="G31" s="167"/>
    </row>
    <row r="32" spans="1:7" ht="15.75" thickBot="1">
      <c r="A32" s="173" t="s">
        <v>149</v>
      </c>
      <c r="B32" s="174" t="s">
        <v>155</v>
      </c>
      <c r="C32" s="175" t="s">
        <v>22</v>
      </c>
      <c r="D32" s="182">
        <f>0.5+1791.01</f>
        <v>1791.51</v>
      </c>
      <c r="E32" s="182">
        <v>1756.94</v>
      </c>
      <c r="F32" s="182">
        <f t="shared" si="0"/>
        <v>-34.569999999999936</v>
      </c>
      <c r="G32" s="167"/>
    </row>
    <row r="33" spans="1:7" ht="15.75" thickBot="1">
      <c r="A33" s="173" t="s">
        <v>152</v>
      </c>
      <c r="B33" s="174" t="s">
        <v>156</v>
      </c>
      <c r="C33" s="175" t="s">
        <v>157</v>
      </c>
      <c r="D33" s="182">
        <v>17.44</v>
      </c>
      <c r="E33" s="182">
        <v>17.44</v>
      </c>
      <c r="F33" s="182">
        <f t="shared" si="0"/>
        <v>0</v>
      </c>
      <c r="G33" s="167"/>
    </row>
    <row r="34" spans="1:7" ht="15.75" thickBot="1">
      <c r="A34" s="170">
        <v>3</v>
      </c>
      <c r="B34" s="171" t="s">
        <v>158</v>
      </c>
      <c r="C34" s="179" t="s">
        <v>159</v>
      </c>
      <c r="D34" s="181">
        <v>3811.09</v>
      </c>
      <c r="E34" s="181">
        <v>3519.58</v>
      </c>
      <c r="F34" s="181">
        <f t="shared" si="0"/>
        <v>-291.5100000000002</v>
      </c>
      <c r="G34" s="167"/>
    </row>
    <row r="35" spans="1:7" ht="15.75" thickBot="1">
      <c r="A35" s="170"/>
      <c r="B35" s="179" t="s">
        <v>169</v>
      </c>
      <c r="C35" s="179"/>
      <c r="D35" s="181">
        <v>86859.49</v>
      </c>
      <c r="E35" s="180">
        <v>86859.49</v>
      </c>
      <c r="F35" s="181">
        <f t="shared" si="0"/>
        <v>0</v>
      </c>
      <c r="G35" s="167"/>
    </row>
    <row r="36" spans="4:5" ht="15">
      <c r="D36" s="184"/>
      <c r="E36" s="184"/>
    </row>
    <row r="37" ht="15">
      <c r="E37" s="184"/>
    </row>
  </sheetData>
  <sheetProtection/>
  <mergeCells count="6">
    <mergeCell ref="E3:E5"/>
    <mergeCell ref="G3:G4"/>
    <mergeCell ref="A3:A5"/>
    <mergeCell ref="B3:B5"/>
    <mergeCell ref="C3:C5"/>
    <mergeCell ref="D3:D5"/>
  </mergeCells>
  <printOptions/>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D9"/>
    </sheetView>
  </sheetViews>
  <sheetFormatPr defaultColWidth="9.140625" defaultRowHeight="15"/>
  <sheetData>
    <row r="7" ht="42.75" customHeight="1"/>
    <row r="8" ht="39" customHeight="1"/>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3"/>
  <sheetViews>
    <sheetView zoomScale="115" zoomScaleNormal="115" zoomScalePageLayoutView="0" workbookViewId="0" topLeftCell="A1">
      <selection activeCell="F13" sqref="F13"/>
    </sheetView>
  </sheetViews>
  <sheetFormatPr defaultColWidth="9.140625" defaultRowHeight="15"/>
  <cols>
    <col min="2" max="2" width="38.421875" style="0" customWidth="1"/>
    <col min="4" max="4" width="10.00390625" style="0" bestFit="1" customWidth="1"/>
    <col min="13" max="13" width="8.00390625" style="0" customWidth="1"/>
    <col min="14" max="14" width="12.7109375" style="0" customWidth="1"/>
  </cols>
  <sheetData>
    <row r="1" spans="1:13" ht="15" customHeight="1">
      <c r="A1" s="196" t="s">
        <v>82</v>
      </c>
      <c r="B1" s="280" t="s">
        <v>247</v>
      </c>
      <c r="C1" s="280"/>
      <c r="D1" s="280"/>
      <c r="E1" s="280"/>
      <c r="F1" s="280"/>
      <c r="G1" s="280"/>
      <c r="H1" s="280"/>
      <c r="I1" s="280"/>
      <c r="J1" s="280"/>
      <c r="K1" s="280"/>
      <c r="L1" s="280"/>
      <c r="M1" s="280"/>
    </row>
    <row r="2" spans="1:13" ht="15">
      <c r="A2" s="29"/>
      <c r="B2" s="29"/>
      <c r="C2" s="29"/>
      <c r="D2" s="30"/>
      <c r="E2" s="30"/>
      <c r="F2" s="30"/>
      <c r="G2" s="30"/>
      <c r="H2" s="30"/>
      <c r="I2" s="30"/>
      <c r="J2" s="30"/>
      <c r="K2" s="30"/>
      <c r="L2" s="281" t="s">
        <v>81</v>
      </c>
      <c r="M2" s="281"/>
    </row>
    <row r="3" spans="1:13" ht="12" customHeight="1">
      <c r="A3" s="282" t="s">
        <v>83</v>
      </c>
      <c r="B3" s="283" t="s">
        <v>84</v>
      </c>
      <c r="C3" s="283" t="s">
        <v>85</v>
      </c>
      <c r="D3" s="283" t="s">
        <v>86</v>
      </c>
      <c r="E3" s="283" t="s">
        <v>87</v>
      </c>
      <c r="F3" s="283"/>
      <c r="G3" s="283"/>
      <c r="H3" s="283"/>
      <c r="I3" s="283"/>
      <c r="J3" s="283"/>
      <c r="K3" s="283"/>
      <c r="L3" s="283"/>
      <c r="M3" s="283"/>
    </row>
    <row r="4" spans="1:13" ht="12" customHeight="1">
      <c r="A4" s="282"/>
      <c r="B4" s="283"/>
      <c r="C4" s="283"/>
      <c r="D4" s="283"/>
      <c r="E4" s="32" t="s">
        <v>26</v>
      </c>
      <c r="F4" s="32" t="s">
        <v>29</v>
      </c>
      <c r="G4" s="32" t="s">
        <v>88</v>
      </c>
      <c r="H4" s="32" t="s">
        <v>30</v>
      </c>
      <c r="I4" s="32" t="s">
        <v>33</v>
      </c>
      <c r="J4" s="32" t="s">
        <v>34</v>
      </c>
      <c r="K4" s="32" t="s">
        <v>89</v>
      </c>
      <c r="L4" s="32" t="s">
        <v>32</v>
      </c>
      <c r="M4" s="32" t="s">
        <v>36</v>
      </c>
    </row>
    <row r="5" spans="1:13" ht="20.25" customHeight="1">
      <c r="A5" s="33" t="s">
        <v>90</v>
      </c>
      <c r="B5" s="34" t="s">
        <v>91</v>
      </c>
      <c r="C5" s="34" t="s">
        <v>92</v>
      </c>
      <c r="D5" s="34" t="s">
        <v>93</v>
      </c>
      <c r="E5" s="34" t="s">
        <v>94</v>
      </c>
      <c r="F5" s="34" t="s">
        <v>95</v>
      </c>
      <c r="G5" s="34" t="s">
        <v>96</v>
      </c>
      <c r="H5" s="34" t="s">
        <v>97</v>
      </c>
      <c r="I5" s="34" t="s">
        <v>98</v>
      </c>
      <c r="J5" s="34" t="s">
        <v>99</v>
      </c>
      <c r="K5" s="34" t="s">
        <v>100</v>
      </c>
      <c r="L5" s="34" t="s">
        <v>101</v>
      </c>
      <c r="M5" s="34" t="s">
        <v>102</v>
      </c>
    </row>
    <row r="6" spans="1:14" ht="12" customHeight="1">
      <c r="A6" s="35">
        <v>1</v>
      </c>
      <c r="B6" s="36" t="s">
        <v>103</v>
      </c>
      <c r="C6" s="45" t="s">
        <v>104</v>
      </c>
      <c r="D6" s="44">
        <v>79499.15</v>
      </c>
      <c r="E6" s="44">
        <v>4369.73</v>
      </c>
      <c r="F6" s="44">
        <v>16185.95</v>
      </c>
      <c r="G6" s="44">
        <v>4158.3099999999995</v>
      </c>
      <c r="H6" s="44">
        <v>10774.59</v>
      </c>
      <c r="I6" s="44">
        <v>24797.34</v>
      </c>
      <c r="J6" s="44">
        <v>12344.849999999999</v>
      </c>
      <c r="K6" s="44">
        <v>2373.1400000000003</v>
      </c>
      <c r="L6" s="44">
        <v>2794.7700000000004</v>
      </c>
      <c r="M6" s="44">
        <v>1700.47</v>
      </c>
      <c r="N6" s="159"/>
    </row>
    <row r="7" spans="1:13" ht="12" customHeight="1">
      <c r="A7" s="37" t="s">
        <v>105</v>
      </c>
      <c r="B7" s="38" t="s">
        <v>106</v>
      </c>
      <c r="C7" s="39" t="s">
        <v>107</v>
      </c>
      <c r="D7" s="43">
        <v>6859.26</v>
      </c>
      <c r="E7" s="43">
        <v>438.79</v>
      </c>
      <c r="F7" s="43">
        <v>1396.9699999999998</v>
      </c>
      <c r="G7" s="43">
        <v>841.69</v>
      </c>
      <c r="H7" s="43">
        <v>690.1599999999999</v>
      </c>
      <c r="I7" s="43">
        <v>338.11</v>
      </c>
      <c r="J7" s="43">
        <v>806.06</v>
      </c>
      <c r="K7" s="43">
        <v>444.30000000000007</v>
      </c>
      <c r="L7" s="43">
        <v>942.67</v>
      </c>
      <c r="M7" s="43">
        <v>960.51</v>
      </c>
    </row>
    <row r="8" spans="1:13" ht="12" customHeight="1">
      <c r="A8" s="37"/>
      <c r="B8" s="40" t="s">
        <v>108</v>
      </c>
      <c r="C8" s="41" t="s">
        <v>6</v>
      </c>
      <c r="D8" s="42">
        <v>3006.46</v>
      </c>
      <c r="E8" s="42">
        <v>80.43</v>
      </c>
      <c r="F8" s="42">
        <v>260.23</v>
      </c>
      <c r="G8" s="42">
        <v>233.07</v>
      </c>
      <c r="H8" s="42">
        <v>52.71</v>
      </c>
      <c r="I8" s="42">
        <v>332.5</v>
      </c>
      <c r="J8" s="42">
        <v>135.14</v>
      </c>
      <c r="K8" s="42">
        <v>267.29</v>
      </c>
      <c r="L8" s="42">
        <v>816.88</v>
      </c>
      <c r="M8" s="42">
        <v>828.21</v>
      </c>
    </row>
    <row r="9" spans="1:13" ht="12" customHeight="1">
      <c r="A9" s="37" t="s">
        <v>109</v>
      </c>
      <c r="B9" s="38" t="s">
        <v>110</v>
      </c>
      <c r="C9" s="39" t="s">
        <v>7</v>
      </c>
      <c r="D9" s="42">
        <f>SUM(E9:M9)</f>
        <v>21110.27</v>
      </c>
      <c r="E9" s="43">
        <f>2987.73-3.32</f>
        <v>2984.41</v>
      </c>
      <c r="F9" s="43">
        <v>1257.78</v>
      </c>
      <c r="G9" s="43">
        <f>2431.17-3.32</f>
        <v>2427.85</v>
      </c>
      <c r="H9" s="43">
        <f>1874.25-0.06-3.32</f>
        <v>1870.8700000000001</v>
      </c>
      <c r="I9" s="43">
        <f>1873.33-3.32</f>
        <v>1870.01</v>
      </c>
      <c r="J9" s="43">
        <f>7682.66-J14-3.32</f>
        <v>7634.34</v>
      </c>
      <c r="K9" s="43">
        <v>1032.46</v>
      </c>
      <c r="L9" s="43">
        <f>1295.91-3.32</f>
        <v>1292.5900000000001</v>
      </c>
      <c r="M9" s="43">
        <v>739.96</v>
      </c>
    </row>
    <row r="10" spans="1:13" ht="12" customHeight="1">
      <c r="A10" s="37" t="s">
        <v>111</v>
      </c>
      <c r="B10" s="38" t="s">
        <v>112</v>
      </c>
      <c r="C10" s="39" t="s">
        <v>8</v>
      </c>
      <c r="D10" s="43">
        <f>SUM(E10:M10)</f>
        <v>2952.9100000000003</v>
      </c>
      <c r="E10" s="43">
        <v>372.02</v>
      </c>
      <c r="F10" s="43">
        <v>241.41</v>
      </c>
      <c r="G10" s="43">
        <v>83.64</v>
      </c>
      <c r="H10" s="43">
        <v>101.3</v>
      </c>
      <c r="I10" s="43">
        <v>119.19</v>
      </c>
      <c r="J10" s="43">
        <v>1449.24</v>
      </c>
      <c r="K10" s="43">
        <v>66.81</v>
      </c>
      <c r="L10" s="43">
        <v>519.3000000000001</v>
      </c>
      <c r="M10" s="43"/>
    </row>
    <row r="11" spans="1:13" ht="12" customHeight="1">
      <c r="A11" s="37" t="s">
        <v>113</v>
      </c>
      <c r="B11" s="38" t="s">
        <v>114</v>
      </c>
      <c r="C11" s="39" t="s">
        <v>115</v>
      </c>
      <c r="D11" s="43">
        <v>5320.44</v>
      </c>
      <c r="E11" s="43">
        <v>340.83</v>
      </c>
      <c r="F11" s="43">
        <v>1387.45</v>
      </c>
      <c r="G11" s="43">
        <v>12.41</v>
      </c>
      <c r="H11" s="43">
        <v>2833.38</v>
      </c>
      <c r="I11" s="43">
        <v>746.37</v>
      </c>
      <c r="J11" s="43"/>
      <c r="K11" s="43"/>
      <c r="L11" s="43"/>
      <c r="M11" s="43"/>
    </row>
    <row r="12" spans="1:13" ht="12" customHeight="1">
      <c r="A12" s="37" t="s">
        <v>116</v>
      </c>
      <c r="B12" s="38" t="s">
        <v>42</v>
      </c>
      <c r="C12" s="39" t="s">
        <v>9</v>
      </c>
      <c r="D12" s="43">
        <f>SUM(E12:M12)</f>
        <v>43193.740000000005</v>
      </c>
      <c r="E12" s="43">
        <f>3.32+218.13</f>
        <v>221.45</v>
      </c>
      <c r="F12" s="43">
        <v>11902.34</v>
      </c>
      <c r="G12" s="43">
        <f>3.32+786.61</f>
        <v>789.9300000000001</v>
      </c>
      <c r="H12" s="43">
        <f>3.32+5275.5+0.06</f>
        <v>5278.88</v>
      </c>
      <c r="I12" s="43">
        <f>3.32+21720.34</f>
        <v>21723.66</v>
      </c>
      <c r="J12" s="43">
        <f>3.32+2404.43</f>
        <v>2407.75</v>
      </c>
      <c r="K12" s="43">
        <v>829.5699999999999</v>
      </c>
      <c r="L12" s="43">
        <f>3.32+36.84</f>
        <v>40.160000000000004</v>
      </c>
      <c r="M12" s="43"/>
    </row>
    <row r="13" spans="1:13" ht="12" customHeight="1">
      <c r="A13" s="37" t="s">
        <v>117</v>
      </c>
      <c r="B13" s="38" t="s">
        <v>119</v>
      </c>
      <c r="C13" s="39" t="s">
        <v>120</v>
      </c>
      <c r="D13" s="43">
        <v>17.53</v>
      </c>
      <c r="E13" s="43">
        <v>12.23</v>
      </c>
      <c r="F13" s="43">
        <v>0</v>
      </c>
      <c r="G13" s="43">
        <v>2.79</v>
      </c>
      <c r="H13" s="43"/>
      <c r="I13" s="43">
        <v>0</v>
      </c>
      <c r="J13" s="43">
        <v>2.46</v>
      </c>
      <c r="K13" s="43">
        <v>0</v>
      </c>
      <c r="L13" s="43">
        <v>0.05</v>
      </c>
      <c r="M13" s="43">
        <v>0</v>
      </c>
    </row>
    <row r="14" spans="1:13" ht="12" customHeight="1">
      <c r="A14" s="37" t="s">
        <v>118</v>
      </c>
      <c r="B14" s="38" t="s">
        <v>45</v>
      </c>
      <c r="C14" s="39" t="s">
        <v>10</v>
      </c>
      <c r="D14" s="43">
        <v>45</v>
      </c>
      <c r="E14" s="43"/>
      <c r="F14" s="43"/>
      <c r="G14" s="43"/>
      <c r="H14" s="43"/>
      <c r="I14" s="43"/>
      <c r="J14" s="43">
        <v>45</v>
      </c>
      <c r="K14" s="43"/>
      <c r="L14" s="43"/>
      <c r="M14" s="43"/>
    </row>
    <row r="15" spans="1:14" ht="12" customHeight="1">
      <c r="A15" s="35">
        <v>2</v>
      </c>
      <c r="B15" s="36" t="s">
        <v>121</v>
      </c>
      <c r="C15" s="45" t="s">
        <v>122</v>
      </c>
      <c r="D15" s="44">
        <f>SUM(E15:M15)</f>
        <v>3549.250000000002</v>
      </c>
      <c r="E15" s="44">
        <v>424.17000000000013</v>
      </c>
      <c r="F15" s="44">
        <v>311.45000000000107</v>
      </c>
      <c r="G15" s="44">
        <v>257.60000000000076</v>
      </c>
      <c r="H15" s="44">
        <v>415.440000000002</v>
      </c>
      <c r="I15" s="44">
        <v>217.4999999999993</v>
      </c>
      <c r="J15" s="44">
        <v>697.8199999999993</v>
      </c>
      <c r="K15" s="44">
        <v>298.61999999999983</v>
      </c>
      <c r="L15" s="44">
        <v>380.10999999999945</v>
      </c>
      <c r="M15" s="44">
        <v>546.5400000000002</v>
      </c>
      <c r="N15" s="159"/>
    </row>
    <row r="16" spans="1:14" ht="12" customHeight="1">
      <c r="A16" s="37" t="s">
        <v>123</v>
      </c>
      <c r="B16" s="38" t="s">
        <v>124</v>
      </c>
      <c r="C16" s="39" t="s">
        <v>125</v>
      </c>
      <c r="D16" s="43">
        <v>2.53</v>
      </c>
      <c r="E16" s="43">
        <v>2.53</v>
      </c>
      <c r="F16" s="43"/>
      <c r="G16" s="43"/>
      <c r="H16" s="43"/>
      <c r="I16" s="43"/>
      <c r="J16" s="43"/>
      <c r="K16" s="43"/>
      <c r="L16" s="43"/>
      <c r="M16" s="43"/>
      <c r="N16" s="159"/>
    </row>
    <row r="17" spans="1:13" ht="12" customHeight="1">
      <c r="A17" s="37" t="s">
        <v>126</v>
      </c>
      <c r="B17" s="38" t="s">
        <v>127</v>
      </c>
      <c r="C17" s="39" t="s">
        <v>128</v>
      </c>
      <c r="D17" s="43">
        <v>2.14</v>
      </c>
      <c r="E17" s="43"/>
      <c r="F17" s="43"/>
      <c r="G17" s="43"/>
      <c r="H17" s="43"/>
      <c r="I17" s="43"/>
      <c r="J17" s="43"/>
      <c r="K17" s="43"/>
      <c r="L17" s="43">
        <f>0.5+1.64</f>
        <v>2.1399999999999997</v>
      </c>
      <c r="M17" s="43"/>
    </row>
    <row r="18" spans="1:15" ht="12" customHeight="1">
      <c r="A18" s="37" t="s">
        <v>129</v>
      </c>
      <c r="B18" s="38" t="s">
        <v>134</v>
      </c>
      <c r="C18" s="39" t="s">
        <v>135</v>
      </c>
      <c r="D18" s="43">
        <f>SUM(E18:M18)</f>
        <v>67.22</v>
      </c>
      <c r="E18" s="43">
        <f>2.32-0.5</f>
        <v>1.8199999999999998</v>
      </c>
      <c r="F18" s="43">
        <v>0</v>
      </c>
      <c r="G18" s="43">
        <v>0.17</v>
      </c>
      <c r="H18" s="43"/>
      <c r="I18" s="43">
        <v>0.09</v>
      </c>
      <c r="J18" s="43">
        <v>49.14</v>
      </c>
      <c r="K18" s="43">
        <v>0.16</v>
      </c>
      <c r="L18" s="43">
        <v>0.69</v>
      </c>
      <c r="M18" s="43">
        <v>15.15</v>
      </c>
      <c r="O18" s="184"/>
    </row>
    <row r="19" spans="1:15" ht="12" customHeight="1">
      <c r="A19" s="37" t="s">
        <v>130</v>
      </c>
      <c r="B19" s="38" t="s">
        <v>137</v>
      </c>
      <c r="C19" s="39" t="s">
        <v>138</v>
      </c>
      <c r="D19" s="43">
        <v>34.63</v>
      </c>
      <c r="E19" s="43"/>
      <c r="F19" s="43">
        <v>7</v>
      </c>
      <c r="G19" s="43"/>
      <c r="H19" s="43"/>
      <c r="I19" s="43">
        <v>3.63</v>
      </c>
      <c r="J19" s="43"/>
      <c r="K19" s="43">
        <v>9</v>
      </c>
      <c r="L19" s="43">
        <v>5</v>
      </c>
      <c r="M19" s="43">
        <v>10</v>
      </c>
      <c r="N19" s="159"/>
      <c r="O19" s="159"/>
    </row>
    <row r="20" spans="1:14" ht="12" customHeight="1">
      <c r="A20" s="37" t="s">
        <v>131</v>
      </c>
      <c r="B20" s="38" t="s">
        <v>140</v>
      </c>
      <c r="C20" s="39" t="s">
        <v>141</v>
      </c>
      <c r="D20" s="43">
        <v>620.49</v>
      </c>
      <c r="E20" s="43">
        <v>83.51</v>
      </c>
      <c r="F20" s="43">
        <v>56.050000000000004</v>
      </c>
      <c r="G20" s="43">
        <v>51.87</v>
      </c>
      <c r="H20" s="43">
        <v>40.059999999999995</v>
      </c>
      <c r="I20" s="43">
        <v>41.760000000000005</v>
      </c>
      <c r="J20" s="43">
        <v>145.39</v>
      </c>
      <c r="K20" s="43">
        <v>34.49</v>
      </c>
      <c r="L20" s="43">
        <v>104.84</v>
      </c>
      <c r="M20" s="43">
        <v>62.52</v>
      </c>
      <c r="N20" s="159"/>
    </row>
    <row r="21" spans="1:13" ht="12" customHeight="1">
      <c r="A21" s="37" t="s">
        <v>132</v>
      </c>
      <c r="B21" s="38" t="s">
        <v>37</v>
      </c>
      <c r="C21" s="39" t="s">
        <v>16</v>
      </c>
      <c r="D21" s="43">
        <v>5</v>
      </c>
      <c r="E21" s="43"/>
      <c r="F21" s="43"/>
      <c r="G21" s="43"/>
      <c r="H21" s="43">
        <v>5</v>
      </c>
      <c r="I21" s="43"/>
      <c r="J21" s="43"/>
      <c r="K21" s="43"/>
      <c r="L21" s="43"/>
      <c r="M21" s="43"/>
    </row>
    <row r="22" spans="1:15" ht="12" customHeight="1">
      <c r="A22" s="37" t="s">
        <v>133</v>
      </c>
      <c r="B22" s="38" t="s">
        <v>52</v>
      </c>
      <c r="C22" s="39" t="s">
        <v>17</v>
      </c>
      <c r="D22" s="43">
        <f>SUM(E22:M22)</f>
        <v>909.4000000000001</v>
      </c>
      <c r="E22" s="43">
        <f>94.14-0.06</f>
        <v>94.08</v>
      </c>
      <c r="F22" s="43">
        <v>86.29</v>
      </c>
      <c r="G22" s="43">
        <f>35.07-0.06</f>
        <v>35.01</v>
      </c>
      <c r="H22" s="43">
        <f>60.82-0.06</f>
        <v>60.76</v>
      </c>
      <c r="I22" s="43">
        <f>33.85-0.06</f>
        <v>33.79</v>
      </c>
      <c r="J22" s="43">
        <f>157.81-0.06</f>
        <v>157.75</v>
      </c>
      <c r="K22" s="43">
        <v>31.83</v>
      </c>
      <c r="L22" s="43">
        <f>133.12-0.5-0.2</f>
        <v>132.42000000000002</v>
      </c>
      <c r="M22" s="43">
        <v>277.47</v>
      </c>
      <c r="N22" s="159"/>
      <c r="O22" s="184"/>
    </row>
    <row r="23" spans="1:13" ht="12" customHeight="1">
      <c r="A23" s="37" t="s">
        <v>136</v>
      </c>
      <c r="B23" s="38" t="s">
        <v>148</v>
      </c>
      <c r="C23" s="39" t="s">
        <v>18</v>
      </c>
      <c r="D23" s="43">
        <f>32.41+0.5</f>
        <v>32.91</v>
      </c>
      <c r="E23" s="43">
        <v>12.85</v>
      </c>
      <c r="F23" s="43">
        <v>0.69</v>
      </c>
      <c r="G23" s="43">
        <v>1.14</v>
      </c>
      <c r="H23" s="43">
        <v>1.43</v>
      </c>
      <c r="I23" s="43">
        <v>0.94</v>
      </c>
      <c r="J23" s="43">
        <v>0.78</v>
      </c>
      <c r="K23" s="43">
        <v>0.53</v>
      </c>
      <c r="L23" s="43">
        <f>12.49+0.5</f>
        <v>12.99</v>
      </c>
      <c r="M23" s="43">
        <v>1.56</v>
      </c>
    </row>
    <row r="24" spans="1:14" ht="12" customHeight="1">
      <c r="A24" s="37" t="s">
        <v>139</v>
      </c>
      <c r="B24" s="38" t="s">
        <v>150</v>
      </c>
      <c r="C24" s="39" t="s">
        <v>151</v>
      </c>
      <c r="D24" s="43">
        <v>1.91</v>
      </c>
      <c r="E24" s="43"/>
      <c r="F24" s="43"/>
      <c r="G24" s="43"/>
      <c r="H24" s="43"/>
      <c r="I24" s="43"/>
      <c r="J24" s="43"/>
      <c r="K24" s="43"/>
      <c r="L24" s="43">
        <v>1.91</v>
      </c>
      <c r="M24" s="43"/>
      <c r="N24" s="159"/>
    </row>
    <row r="25" spans="1:13" ht="12" customHeight="1">
      <c r="A25" s="37" t="s">
        <v>142</v>
      </c>
      <c r="B25" s="38" t="s">
        <v>153</v>
      </c>
      <c r="C25" s="39" t="s">
        <v>154</v>
      </c>
      <c r="D25" s="43">
        <v>1.46</v>
      </c>
      <c r="E25" s="43"/>
      <c r="F25" s="43"/>
      <c r="G25" s="43"/>
      <c r="H25" s="43"/>
      <c r="I25" s="43">
        <v>0.3</v>
      </c>
      <c r="J25" s="43"/>
      <c r="K25" s="43"/>
      <c r="L25" s="43">
        <v>0.25</v>
      </c>
      <c r="M25" s="43">
        <v>0.91</v>
      </c>
    </row>
    <row r="26" spans="1:13" ht="12" customHeight="1">
      <c r="A26" s="37" t="s">
        <v>143</v>
      </c>
      <c r="B26" s="38" t="s">
        <v>38</v>
      </c>
      <c r="C26" s="39" t="s">
        <v>19</v>
      </c>
      <c r="D26" s="43">
        <v>47.900000000000006</v>
      </c>
      <c r="E26" s="43">
        <v>3.58</v>
      </c>
      <c r="F26" s="43">
        <v>8.47</v>
      </c>
      <c r="G26" s="43">
        <v>2.7</v>
      </c>
      <c r="H26" s="43">
        <v>12.26</v>
      </c>
      <c r="I26" s="43">
        <v>2.75</v>
      </c>
      <c r="J26" s="43">
        <v>2.81</v>
      </c>
      <c r="K26" s="43">
        <v>2.35</v>
      </c>
      <c r="L26" s="43">
        <v>6.09</v>
      </c>
      <c r="M26" s="43">
        <v>6.89</v>
      </c>
    </row>
    <row r="27" spans="1:13" ht="12" customHeight="1">
      <c r="A27" s="37" t="s">
        <v>144</v>
      </c>
      <c r="B27" s="38" t="s">
        <v>54</v>
      </c>
      <c r="C27" s="39" t="s">
        <v>20</v>
      </c>
      <c r="D27" s="43">
        <v>13.2</v>
      </c>
      <c r="E27" s="43"/>
      <c r="F27" s="43"/>
      <c r="G27" s="43"/>
      <c r="H27" s="43"/>
      <c r="I27" s="43"/>
      <c r="J27" s="43"/>
      <c r="K27" s="43"/>
      <c r="L27" s="43"/>
      <c r="M27" s="43">
        <v>13.2</v>
      </c>
    </row>
    <row r="28" spans="1:13" ht="12" customHeight="1">
      <c r="A28" s="37" t="s">
        <v>145</v>
      </c>
      <c r="B28" s="38" t="s">
        <v>41</v>
      </c>
      <c r="C28" s="39" t="s">
        <v>21</v>
      </c>
      <c r="D28" s="43">
        <v>1.5100000000000002</v>
      </c>
      <c r="E28" s="43">
        <v>0.04</v>
      </c>
      <c r="F28" s="43">
        <v>0.15</v>
      </c>
      <c r="G28" s="43">
        <v>0.29000000000000004</v>
      </c>
      <c r="H28" s="43">
        <v>0</v>
      </c>
      <c r="I28" s="43">
        <v>0.64</v>
      </c>
      <c r="J28" s="43">
        <v>0.18</v>
      </c>
      <c r="K28" s="43">
        <v>0.1</v>
      </c>
      <c r="L28" s="43">
        <v>0</v>
      </c>
      <c r="M28" s="43">
        <v>0.11</v>
      </c>
    </row>
    <row r="29" spans="1:13" ht="12" customHeight="1">
      <c r="A29" s="37" t="s">
        <v>146</v>
      </c>
      <c r="B29" s="38" t="s">
        <v>155</v>
      </c>
      <c r="C29" s="39" t="s">
        <v>22</v>
      </c>
      <c r="D29" s="43">
        <f>SUM(E29:M29)</f>
        <v>1791.5100000000018</v>
      </c>
      <c r="E29" s="43">
        <f>224.41+0.5</f>
        <v>224.91</v>
      </c>
      <c r="F29" s="43">
        <v>122.95000000000103</v>
      </c>
      <c r="G29" s="43">
        <v>165.1500000000008</v>
      </c>
      <c r="H29" s="43">
        <v>295.120000000002</v>
      </c>
      <c r="I29" s="43">
        <v>135.17999999999927</v>
      </c>
      <c r="J29" s="43">
        <v>340.22999999999934</v>
      </c>
      <c r="K29" s="43">
        <v>225.09999999999988</v>
      </c>
      <c r="L29" s="43">
        <v>116.59999999999937</v>
      </c>
      <c r="M29" s="43">
        <v>166.27000000000012</v>
      </c>
    </row>
    <row r="30" spans="1:13" ht="12" customHeight="1">
      <c r="A30" s="37" t="s">
        <v>147</v>
      </c>
      <c r="B30" s="38" t="s">
        <v>156</v>
      </c>
      <c r="C30" s="39" t="s">
        <v>157</v>
      </c>
      <c r="D30" s="43">
        <v>17.44</v>
      </c>
      <c r="E30" s="43">
        <v>0.79</v>
      </c>
      <c r="F30" s="43">
        <v>2.22</v>
      </c>
      <c r="G30" s="43">
        <v>1.21</v>
      </c>
      <c r="H30" s="43">
        <v>0.75</v>
      </c>
      <c r="I30" s="43">
        <v>1.9900000000000002</v>
      </c>
      <c r="J30" s="43">
        <v>1.48</v>
      </c>
      <c r="K30" s="43">
        <v>4.06</v>
      </c>
      <c r="L30" s="43">
        <v>2.48</v>
      </c>
      <c r="M30" s="43">
        <v>2.46</v>
      </c>
    </row>
    <row r="31" spans="1:13" ht="12" customHeight="1">
      <c r="A31" s="35">
        <v>3</v>
      </c>
      <c r="B31" s="36" t="s">
        <v>158</v>
      </c>
      <c r="C31" s="46" t="s">
        <v>159</v>
      </c>
      <c r="D31" s="44">
        <v>3811.0899999999997</v>
      </c>
      <c r="E31" s="44">
        <v>91.14</v>
      </c>
      <c r="F31" s="44">
        <v>1397.06</v>
      </c>
      <c r="G31" s="44">
        <v>40.52</v>
      </c>
      <c r="H31" s="44">
        <v>212.69</v>
      </c>
      <c r="I31" s="44">
        <v>1727.3000000000002</v>
      </c>
      <c r="J31" s="44">
        <v>290.6</v>
      </c>
      <c r="K31" s="44">
        <v>39.98</v>
      </c>
      <c r="L31" s="44">
        <v>11.12</v>
      </c>
      <c r="M31" s="44">
        <v>0.68</v>
      </c>
    </row>
    <row r="32" ht="15">
      <c r="D32" s="159"/>
    </row>
    <row r="33" ht="15">
      <c r="D33" s="159"/>
    </row>
  </sheetData>
  <sheetProtection/>
  <mergeCells count="7">
    <mergeCell ref="B1:M1"/>
    <mergeCell ref="L2:M2"/>
    <mergeCell ref="A3:A4"/>
    <mergeCell ref="B3:B4"/>
    <mergeCell ref="C3:C4"/>
    <mergeCell ref="D3:D4"/>
    <mergeCell ref="E3:M3"/>
  </mergeCells>
  <printOptions horizontalCentered="1"/>
  <pageMargins left="0.07874015748031496" right="0.07874015748031496" top="0.7874015748031497" bottom="0.7874015748031497"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K36"/>
  <sheetViews>
    <sheetView showZeros="0" zoomScale="115" zoomScaleNormal="115" zoomScalePageLayoutView="0" workbookViewId="0" topLeftCell="A1">
      <selection activeCell="B9" sqref="B9"/>
    </sheetView>
  </sheetViews>
  <sheetFormatPr defaultColWidth="9.140625" defaultRowHeight="15"/>
  <cols>
    <col min="1" max="1" width="12.28125" style="0" customWidth="1"/>
    <col min="2" max="2" width="48.57421875" style="0" customWidth="1"/>
    <col min="3" max="3" width="6.00390625" style="0" customWidth="1"/>
    <col min="4" max="4" width="10.140625" style="0" customWidth="1"/>
    <col min="5" max="5" width="9.7109375" style="0" customWidth="1"/>
    <col min="7" max="7" width="12.00390625" style="0" customWidth="1"/>
  </cols>
  <sheetData>
    <row r="1" spans="1:7" ht="15">
      <c r="A1" s="47" t="s">
        <v>160</v>
      </c>
      <c r="B1" s="48"/>
      <c r="C1" s="49"/>
      <c r="D1" s="50"/>
      <c r="E1" s="50"/>
      <c r="F1" s="50"/>
      <c r="G1" s="50"/>
    </row>
    <row r="2" spans="1:7" ht="16.5">
      <c r="A2" s="284" t="s">
        <v>246</v>
      </c>
      <c r="B2" s="285"/>
      <c r="C2" s="285"/>
      <c r="D2" s="285"/>
      <c r="E2" s="285"/>
      <c r="F2" s="285"/>
      <c r="G2" s="285"/>
    </row>
    <row r="3" spans="1:7" ht="16.5">
      <c r="A3" s="288"/>
      <c r="B3" s="288"/>
      <c r="C3" s="288"/>
      <c r="D3" s="288"/>
      <c r="E3" s="288"/>
      <c r="F3" s="288"/>
      <c r="G3" s="288"/>
    </row>
    <row r="4" spans="1:7" ht="14.25" customHeight="1">
      <c r="A4" s="286" t="s">
        <v>83</v>
      </c>
      <c r="B4" s="287" t="s">
        <v>84</v>
      </c>
      <c r="C4" s="287" t="s">
        <v>85</v>
      </c>
      <c r="D4" s="287" t="s">
        <v>243</v>
      </c>
      <c r="E4" s="287" t="s">
        <v>161</v>
      </c>
      <c r="F4" s="287"/>
      <c r="G4" s="287"/>
    </row>
    <row r="5" spans="1:7" ht="14.25" customHeight="1">
      <c r="A5" s="286"/>
      <c r="B5" s="287"/>
      <c r="C5" s="287"/>
      <c r="D5" s="287"/>
      <c r="E5" s="287" t="s">
        <v>162</v>
      </c>
      <c r="F5" s="287" t="s">
        <v>163</v>
      </c>
      <c r="G5" s="287"/>
    </row>
    <row r="6" spans="1:7" ht="67.5" customHeight="1">
      <c r="A6" s="286"/>
      <c r="B6" s="287"/>
      <c r="C6" s="287"/>
      <c r="D6" s="287"/>
      <c r="E6" s="287"/>
      <c r="F6" s="23" t="s">
        <v>164</v>
      </c>
      <c r="G6" s="23" t="s">
        <v>165</v>
      </c>
    </row>
    <row r="7" spans="1:7" ht="25.5">
      <c r="A7" s="51" t="s">
        <v>90</v>
      </c>
      <c r="B7" s="52" t="s">
        <v>91</v>
      </c>
      <c r="C7" s="52" t="s">
        <v>92</v>
      </c>
      <c r="D7" s="52" t="s">
        <v>166</v>
      </c>
      <c r="E7" s="52" t="s">
        <v>94</v>
      </c>
      <c r="F7" s="53" t="s">
        <v>167</v>
      </c>
      <c r="G7" s="53" t="s">
        <v>168</v>
      </c>
    </row>
    <row r="8" spans="1:9" ht="21" customHeight="1">
      <c r="A8" s="54">
        <v>1</v>
      </c>
      <c r="B8" s="55" t="s">
        <v>103</v>
      </c>
      <c r="C8" s="62" t="s">
        <v>104</v>
      </c>
      <c r="D8" s="60">
        <v>79654.79</v>
      </c>
      <c r="E8" s="60">
        <v>79499.15</v>
      </c>
      <c r="F8" s="60">
        <v>-155.63999999999942</v>
      </c>
      <c r="G8" s="60">
        <v>99.80460685415153</v>
      </c>
      <c r="H8" s="159"/>
      <c r="I8" s="159"/>
    </row>
    <row r="9" spans="1:10" ht="21" customHeight="1">
      <c r="A9" s="56" t="s">
        <v>105</v>
      </c>
      <c r="B9" s="57" t="s">
        <v>106</v>
      </c>
      <c r="C9" s="58" t="s">
        <v>107</v>
      </c>
      <c r="D9" s="59">
        <v>6858.05</v>
      </c>
      <c r="E9" s="60">
        <v>6859.26</v>
      </c>
      <c r="F9" s="59">
        <v>1.2100000000000364</v>
      </c>
      <c r="G9" s="59">
        <v>100.01764349924542</v>
      </c>
      <c r="J9" s="159"/>
    </row>
    <row r="10" spans="1:7" ht="21" customHeight="1">
      <c r="A10" s="56"/>
      <c r="B10" s="63" t="s">
        <v>108</v>
      </c>
      <c r="C10" s="64" t="s">
        <v>6</v>
      </c>
      <c r="D10" s="65">
        <v>3005.01</v>
      </c>
      <c r="E10" s="59">
        <v>3006.46</v>
      </c>
      <c r="F10" s="59">
        <v>1.449999999999818</v>
      </c>
      <c r="G10" s="59">
        <v>100.04825275123876</v>
      </c>
    </row>
    <row r="11" spans="1:7" ht="21" customHeight="1">
      <c r="A11" s="56" t="s">
        <v>109</v>
      </c>
      <c r="B11" s="57" t="s">
        <v>110</v>
      </c>
      <c r="C11" s="58" t="s">
        <v>7</v>
      </c>
      <c r="D11" s="59">
        <v>21068.056666666667</v>
      </c>
      <c r="E11" s="59">
        <f>'01CH'!D9</f>
        <v>21110.27</v>
      </c>
      <c r="F11" s="59">
        <v>107.19333333332906</v>
      </c>
      <c r="G11" s="59">
        <v>100.50879554307886</v>
      </c>
    </row>
    <row r="12" spans="1:7" ht="21" customHeight="1">
      <c r="A12" s="56" t="s">
        <v>111</v>
      </c>
      <c r="B12" s="57" t="s">
        <v>112</v>
      </c>
      <c r="C12" s="58" t="s">
        <v>8</v>
      </c>
      <c r="D12" s="59">
        <v>2953.7233333333334</v>
      </c>
      <c r="E12" s="59">
        <v>2952.91</v>
      </c>
      <c r="F12" s="59">
        <v>-0.8133333333330484</v>
      </c>
      <c r="G12" s="59">
        <v>99.97246413284026</v>
      </c>
    </row>
    <row r="13" spans="1:9" ht="21" customHeight="1">
      <c r="A13" s="56" t="s">
        <v>113</v>
      </c>
      <c r="B13" s="57" t="s">
        <v>114</v>
      </c>
      <c r="C13" s="58" t="s">
        <v>115</v>
      </c>
      <c r="D13" s="59">
        <v>5312.44</v>
      </c>
      <c r="E13" s="59">
        <v>5320.44</v>
      </c>
      <c r="F13" s="59">
        <v>8</v>
      </c>
      <c r="G13" s="59">
        <v>100.15058993607457</v>
      </c>
      <c r="I13" s="159"/>
    </row>
    <row r="14" spans="1:7" ht="21" customHeight="1">
      <c r="A14" s="56" t="s">
        <v>116</v>
      </c>
      <c r="B14" s="57" t="s">
        <v>42</v>
      </c>
      <c r="C14" s="58" t="s">
        <v>9</v>
      </c>
      <c r="D14" s="59">
        <v>43369.99</v>
      </c>
      <c r="E14" s="59">
        <f>'01CH'!D12</f>
        <v>43193.740000000005</v>
      </c>
      <c r="F14" s="59">
        <v>-196.2300000000032</v>
      </c>
      <c r="G14" s="59">
        <v>99.5475442811954</v>
      </c>
    </row>
    <row r="15" spans="1:7" ht="21" customHeight="1">
      <c r="A15" s="56" t="s">
        <v>117</v>
      </c>
      <c r="B15" s="57" t="s">
        <v>119</v>
      </c>
      <c r="C15" s="58" t="s">
        <v>120</v>
      </c>
      <c r="D15" s="59">
        <v>17.53</v>
      </c>
      <c r="E15" s="59">
        <v>17.53</v>
      </c>
      <c r="F15" s="59">
        <v>0</v>
      </c>
      <c r="G15" s="59">
        <v>100</v>
      </c>
    </row>
    <row r="16" spans="1:7" ht="21" customHeight="1">
      <c r="A16" s="56" t="s">
        <v>118</v>
      </c>
      <c r="B16" s="57" t="s">
        <v>45</v>
      </c>
      <c r="C16" s="58" t="s">
        <v>10</v>
      </c>
      <c r="D16" s="59">
        <v>75</v>
      </c>
      <c r="E16" s="59">
        <v>45</v>
      </c>
      <c r="F16" s="59">
        <f>E16-D16</f>
        <v>-30</v>
      </c>
      <c r="G16" s="59">
        <f>(E16/D16)*100</f>
        <v>60</v>
      </c>
    </row>
    <row r="17" spans="1:8" ht="21" customHeight="1">
      <c r="A17" s="54">
        <v>2</v>
      </c>
      <c r="B17" s="55" t="s">
        <v>121</v>
      </c>
      <c r="C17" s="62" t="s">
        <v>122</v>
      </c>
      <c r="D17" s="60">
        <v>3683.610000000003</v>
      </c>
      <c r="E17" s="60">
        <v>3549.25</v>
      </c>
      <c r="F17" s="60">
        <v>-134.36000000000013</v>
      </c>
      <c r="G17" s="60">
        <v>96.35249117034648</v>
      </c>
      <c r="H17" s="159"/>
    </row>
    <row r="18" spans="1:7" ht="21" customHeight="1">
      <c r="A18" s="56" t="s">
        <v>123</v>
      </c>
      <c r="B18" s="57" t="s">
        <v>124</v>
      </c>
      <c r="C18" s="58" t="s">
        <v>125</v>
      </c>
      <c r="D18" s="59">
        <v>28.03</v>
      </c>
      <c r="E18" s="59">
        <v>2.53</v>
      </c>
      <c r="F18" s="59">
        <v>-25.5</v>
      </c>
      <c r="G18" s="59">
        <v>9.026043524794861</v>
      </c>
    </row>
    <row r="19" spans="1:7" ht="21" customHeight="1">
      <c r="A19" s="56" t="s">
        <v>126</v>
      </c>
      <c r="B19" s="57" t="s">
        <v>127</v>
      </c>
      <c r="C19" s="58" t="s">
        <v>128</v>
      </c>
      <c r="D19" s="59">
        <v>2.34</v>
      </c>
      <c r="E19" s="59">
        <f>2.34-0.2</f>
        <v>2.1399999999999997</v>
      </c>
      <c r="F19" s="59">
        <f>E19-D19</f>
        <v>-0.20000000000000018</v>
      </c>
      <c r="G19" s="59">
        <f>(E19/D19)*100</f>
        <v>91.45299145299145</v>
      </c>
    </row>
    <row r="20" spans="1:11" ht="21" customHeight="1">
      <c r="A20" s="56" t="s">
        <v>129</v>
      </c>
      <c r="B20" s="57" t="s">
        <v>24</v>
      </c>
      <c r="C20" s="58" t="s">
        <v>11</v>
      </c>
      <c r="D20" s="59">
        <v>30</v>
      </c>
      <c r="E20" s="59">
        <v>0</v>
      </c>
      <c r="F20" s="59">
        <v>-30</v>
      </c>
      <c r="G20" s="59">
        <v>0</v>
      </c>
      <c r="K20" s="159"/>
    </row>
    <row r="21" spans="1:7" ht="21" customHeight="1">
      <c r="A21" s="56" t="s">
        <v>130</v>
      </c>
      <c r="B21" s="57" t="s">
        <v>46</v>
      </c>
      <c r="C21" s="58" t="s">
        <v>12</v>
      </c>
      <c r="D21" s="59">
        <v>71</v>
      </c>
      <c r="E21" s="59">
        <v>0</v>
      </c>
      <c r="F21" s="59">
        <v>-71</v>
      </c>
      <c r="G21" s="59">
        <v>0</v>
      </c>
    </row>
    <row r="22" spans="1:7" ht="21" customHeight="1">
      <c r="A22" s="56" t="s">
        <v>131</v>
      </c>
      <c r="B22" s="57" t="s">
        <v>134</v>
      </c>
      <c r="C22" s="58" t="s">
        <v>135</v>
      </c>
      <c r="D22" s="59">
        <v>67.72</v>
      </c>
      <c r="E22" s="59">
        <f>'01CH'!D18</f>
        <v>67.22</v>
      </c>
      <c r="F22" s="59">
        <v>0</v>
      </c>
      <c r="G22" s="59">
        <v>100</v>
      </c>
    </row>
    <row r="23" spans="1:7" ht="21" customHeight="1">
      <c r="A23" s="56" t="s">
        <v>132</v>
      </c>
      <c r="B23" s="57" t="s">
        <v>137</v>
      </c>
      <c r="C23" s="58" t="s">
        <v>138</v>
      </c>
      <c r="D23" s="59">
        <v>34.63</v>
      </c>
      <c r="E23" s="59">
        <v>34.63</v>
      </c>
      <c r="F23" s="59">
        <v>0</v>
      </c>
      <c r="G23" s="59">
        <v>100</v>
      </c>
    </row>
    <row r="24" spans="1:7" ht="21" customHeight="1">
      <c r="A24" s="56" t="s">
        <v>133</v>
      </c>
      <c r="B24" s="57" t="s">
        <v>140</v>
      </c>
      <c r="C24" s="58" t="s">
        <v>141</v>
      </c>
      <c r="D24" s="59">
        <v>637.04</v>
      </c>
      <c r="E24" s="59">
        <v>620.49</v>
      </c>
      <c r="F24" s="59">
        <v>-16.549999999999955</v>
      </c>
      <c r="G24" s="59">
        <v>97.40204696722341</v>
      </c>
    </row>
    <row r="25" spans="1:7" ht="21" customHeight="1">
      <c r="A25" s="56" t="s">
        <v>136</v>
      </c>
      <c r="B25" s="57" t="s">
        <v>37</v>
      </c>
      <c r="C25" s="58" t="s">
        <v>16</v>
      </c>
      <c r="D25" s="59">
        <v>10</v>
      </c>
      <c r="E25" s="59">
        <v>5</v>
      </c>
      <c r="F25" s="59">
        <v>-5</v>
      </c>
      <c r="G25" s="59">
        <v>50</v>
      </c>
    </row>
    <row r="26" spans="1:7" ht="21" customHeight="1">
      <c r="A26" s="56" t="s">
        <v>139</v>
      </c>
      <c r="B26" s="57" t="s">
        <v>52</v>
      </c>
      <c r="C26" s="58" t="s">
        <v>17</v>
      </c>
      <c r="D26" s="59">
        <v>908.78</v>
      </c>
      <c r="E26" s="59">
        <v>909.4</v>
      </c>
      <c r="F26" s="59">
        <f>E26-D26</f>
        <v>0.6200000000000045</v>
      </c>
      <c r="G26" s="59">
        <v>100</v>
      </c>
    </row>
    <row r="27" spans="1:7" ht="21" customHeight="1">
      <c r="A27" s="56" t="s">
        <v>142</v>
      </c>
      <c r="B27" s="57" t="s">
        <v>148</v>
      </c>
      <c r="C27" s="58" t="s">
        <v>18</v>
      </c>
      <c r="D27" s="59">
        <v>28.91</v>
      </c>
      <c r="E27" s="59">
        <f>32.41+0.5</f>
        <v>32.91</v>
      </c>
      <c r="F27" s="59">
        <f>E27-D27</f>
        <v>3.9999999999999964</v>
      </c>
      <c r="G27" s="59">
        <v>113.83</v>
      </c>
    </row>
    <row r="28" spans="1:7" ht="21" customHeight="1">
      <c r="A28" s="56" t="s">
        <v>143</v>
      </c>
      <c r="B28" s="57" t="s">
        <v>150</v>
      </c>
      <c r="C28" s="58" t="s">
        <v>151</v>
      </c>
      <c r="D28" s="59">
        <v>1.91</v>
      </c>
      <c r="E28" s="59">
        <v>1.91</v>
      </c>
      <c r="F28" s="59">
        <v>0</v>
      </c>
      <c r="G28" s="59">
        <v>100</v>
      </c>
    </row>
    <row r="29" spans="1:7" ht="21" customHeight="1">
      <c r="A29" s="56" t="s">
        <v>144</v>
      </c>
      <c r="B29" s="57" t="s">
        <v>153</v>
      </c>
      <c r="C29" s="58" t="s">
        <v>154</v>
      </c>
      <c r="D29" s="59">
        <v>1.1600000000000001</v>
      </c>
      <c r="E29" s="59">
        <v>1.46</v>
      </c>
      <c r="F29" s="59">
        <v>0.2999999999999998</v>
      </c>
      <c r="G29" s="59">
        <v>125.86206896551721</v>
      </c>
    </row>
    <row r="30" spans="1:7" ht="21" customHeight="1">
      <c r="A30" s="56" t="s">
        <v>145</v>
      </c>
      <c r="B30" s="57" t="s">
        <v>38</v>
      </c>
      <c r="C30" s="58" t="s">
        <v>19</v>
      </c>
      <c r="D30" s="59">
        <v>56.400000000000006</v>
      </c>
      <c r="E30" s="59">
        <v>47.900000000000006</v>
      </c>
      <c r="F30" s="59">
        <v>-8.5</v>
      </c>
      <c r="G30" s="59">
        <v>84.9290780141844</v>
      </c>
    </row>
    <row r="31" spans="1:7" ht="21" customHeight="1">
      <c r="A31" s="56" t="s">
        <v>146</v>
      </c>
      <c r="B31" s="57" t="s">
        <v>54</v>
      </c>
      <c r="C31" s="58" t="s">
        <v>20</v>
      </c>
      <c r="D31" s="59">
        <v>29.47</v>
      </c>
      <c r="E31" s="59">
        <v>13.2</v>
      </c>
      <c r="F31" s="59">
        <v>-16.27</v>
      </c>
      <c r="G31" s="59">
        <v>44.79131319986427</v>
      </c>
    </row>
    <row r="32" spans="1:7" ht="21" customHeight="1">
      <c r="A32" s="56" t="s">
        <v>147</v>
      </c>
      <c r="B32" s="57" t="s">
        <v>41</v>
      </c>
      <c r="C32" s="58" t="s">
        <v>21</v>
      </c>
      <c r="D32" s="59">
        <v>2.3400000000000003</v>
      </c>
      <c r="E32" s="59">
        <v>1.5100000000000002</v>
      </c>
      <c r="F32" s="59">
        <v>-0.8300000000000001</v>
      </c>
      <c r="G32" s="59">
        <v>64.52991452991454</v>
      </c>
    </row>
    <row r="33" spans="1:7" ht="21" customHeight="1">
      <c r="A33" s="56" t="s">
        <v>149</v>
      </c>
      <c r="B33" s="57" t="s">
        <v>155</v>
      </c>
      <c r="C33" s="58" t="s">
        <v>22</v>
      </c>
      <c r="D33" s="59">
        <v>1756.4400000000023</v>
      </c>
      <c r="E33" s="59">
        <f>'01CH'!D29</f>
        <v>1791.5100000000018</v>
      </c>
      <c r="F33" s="59">
        <v>34.569999999999936</v>
      </c>
      <c r="G33" s="59">
        <v>101.96818564824304</v>
      </c>
    </row>
    <row r="34" spans="1:7" ht="21" customHeight="1">
      <c r="A34" s="56" t="s">
        <v>152</v>
      </c>
      <c r="B34" s="57" t="s">
        <v>156</v>
      </c>
      <c r="C34" s="58" t="s">
        <v>157</v>
      </c>
      <c r="D34" s="59">
        <v>17.44</v>
      </c>
      <c r="E34" s="59">
        <v>17.44</v>
      </c>
      <c r="F34" s="59">
        <v>0</v>
      </c>
      <c r="G34" s="59">
        <v>100</v>
      </c>
    </row>
    <row r="35" spans="1:8" ht="21" customHeight="1">
      <c r="A35" s="54">
        <v>3</v>
      </c>
      <c r="B35" s="55" t="s">
        <v>158</v>
      </c>
      <c r="C35" s="61" t="s">
        <v>159</v>
      </c>
      <c r="D35" s="60">
        <v>3521.0899999999997</v>
      </c>
      <c r="E35" s="60">
        <v>3811.0899999999997</v>
      </c>
      <c r="F35" s="60">
        <f>E35-D35</f>
        <v>290</v>
      </c>
      <c r="G35" s="59">
        <v>108.23608598473768</v>
      </c>
      <c r="H35" s="159"/>
    </row>
    <row r="36" spans="1:7" ht="21" customHeight="1">
      <c r="A36" s="54"/>
      <c r="B36" s="61" t="s">
        <v>169</v>
      </c>
      <c r="C36" s="61"/>
      <c r="D36" s="60">
        <v>86859.48999999999</v>
      </c>
      <c r="E36" s="60">
        <v>86859.48999999999</v>
      </c>
      <c r="F36" s="60"/>
      <c r="G36" s="60"/>
    </row>
  </sheetData>
  <sheetProtection/>
  <mergeCells count="9">
    <mergeCell ref="A2:G2"/>
    <mergeCell ref="A4:A6"/>
    <mergeCell ref="B4:B6"/>
    <mergeCell ref="C4:C6"/>
    <mergeCell ref="D4:D6"/>
    <mergeCell ref="E4:G4"/>
    <mergeCell ref="E5:E6"/>
    <mergeCell ref="F5:G5"/>
    <mergeCell ref="A3:G3"/>
  </mergeCells>
  <printOptions horizontalCentered="1"/>
  <pageMargins left="0.1968503937007874" right="0.1968503937007874" top="0.7874015748031497" bottom="0.7874015748031497" header="0.31496062992125984" footer="0.31496062992125984"/>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Q38"/>
  <sheetViews>
    <sheetView showZeros="0" zoomScale="115" zoomScaleNormal="115" zoomScalePageLayoutView="0" workbookViewId="0" topLeftCell="A1">
      <selection activeCell="Q16" sqref="Q16"/>
    </sheetView>
  </sheetViews>
  <sheetFormatPr defaultColWidth="9.140625" defaultRowHeight="15"/>
  <cols>
    <col min="1" max="1" width="5.7109375" style="0" customWidth="1"/>
    <col min="2" max="2" width="36.00390625" style="0" customWidth="1"/>
    <col min="3" max="3" width="5.7109375" style="0" customWidth="1"/>
    <col min="4" max="4" width="11.57421875" style="0" customWidth="1"/>
    <col min="5" max="5" width="10.00390625" style="0" hidden="1" customWidth="1"/>
    <col min="9" max="9" width="9.140625" style="258" customWidth="1"/>
    <col min="15" max="15" width="9.7109375" style="0" hidden="1" customWidth="1"/>
    <col min="16" max="16" width="0" style="0" hidden="1" customWidth="1"/>
    <col min="17" max="17" width="9.140625" style="259" customWidth="1"/>
  </cols>
  <sheetData>
    <row r="1" ht="15">
      <c r="Q1" s="258"/>
    </row>
    <row r="2" spans="1:17" ht="16.5">
      <c r="A2" s="289" t="s">
        <v>170</v>
      </c>
      <c r="B2" s="289"/>
      <c r="C2" s="290" t="s">
        <v>245</v>
      </c>
      <c r="D2" s="290"/>
      <c r="E2" s="290"/>
      <c r="F2" s="290"/>
      <c r="G2" s="290"/>
      <c r="H2" s="290"/>
      <c r="I2" s="290"/>
      <c r="J2" s="290"/>
      <c r="K2" s="290"/>
      <c r="L2" s="290"/>
      <c r="M2" s="290"/>
      <c r="N2" s="290"/>
      <c r="O2" s="261"/>
      <c r="P2" s="261"/>
      <c r="Q2" s="261"/>
    </row>
    <row r="3" spans="1:17" ht="16.5">
      <c r="A3" s="199"/>
      <c r="B3" s="199"/>
      <c r="C3" s="292"/>
      <c r="D3" s="292"/>
      <c r="E3" s="292"/>
      <c r="F3" s="292"/>
      <c r="G3" s="292"/>
      <c r="H3" s="292"/>
      <c r="I3" s="292"/>
      <c r="J3" s="292"/>
      <c r="K3" s="292"/>
      <c r="L3" s="292"/>
      <c r="M3" s="292"/>
      <c r="N3" s="292"/>
      <c r="O3" s="261"/>
      <c r="P3" s="261"/>
      <c r="Q3" s="261"/>
    </row>
    <row r="4" spans="1:17" ht="15">
      <c r="A4" s="262"/>
      <c r="B4" s="262"/>
      <c r="C4" s="262"/>
      <c r="D4" s="262"/>
      <c r="E4" s="262"/>
      <c r="F4" s="262"/>
      <c r="G4" s="262"/>
      <c r="H4" s="262"/>
      <c r="I4" s="262"/>
      <c r="J4" s="262"/>
      <c r="K4" s="262"/>
      <c r="L4" s="291" t="s">
        <v>81</v>
      </c>
      <c r="M4" s="291"/>
      <c r="N4" s="291"/>
      <c r="O4" s="261"/>
      <c r="P4" s="261"/>
      <c r="Q4" s="261"/>
    </row>
    <row r="5" spans="1:17" ht="14.25" customHeight="1">
      <c r="A5" s="282" t="s">
        <v>83</v>
      </c>
      <c r="B5" s="283" t="s">
        <v>84</v>
      </c>
      <c r="C5" s="283" t="s">
        <v>85</v>
      </c>
      <c r="D5" s="283" t="s">
        <v>86</v>
      </c>
      <c r="E5" s="250"/>
      <c r="F5" s="283" t="s">
        <v>87</v>
      </c>
      <c r="G5" s="283"/>
      <c r="H5" s="283"/>
      <c r="I5" s="283"/>
      <c r="J5" s="283"/>
      <c r="K5" s="283"/>
      <c r="L5" s="283"/>
      <c r="M5" s="283"/>
      <c r="N5" s="283"/>
      <c r="O5" s="261" t="s">
        <v>86</v>
      </c>
      <c r="P5" s="261"/>
      <c r="Q5" s="261"/>
    </row>
    <row r="6" spans="1:17" ht="15">
      <c r="A6" s="282"/>
      <c r="B6" s="283"/>
      <c r="C6" s="283"/>
      <c r="D6" s="283"/>
      <c r="E6" s="250"/>
      <c r="F6" s="32" t="s">
        <v>26</v>
      </c>
      <c r="G6" s="32" t="s">
        <v>29</v>
      </c>
      <c r="H6" s="32" t="s">
        <v>88</v>
      </c>
      <c r="I6" s="32" t="s">
        <v>30</v>
      </c>
      <c r="J6" s="32" t="s">
        <v>33</v>
      </c>
      <c r="K6" s="32" t="s">
        <v>34</v>
      </c>
      <c r="L6" s="32" t="s">
        <v>89</v>
      </c>
      <c r="M6" s="32" t="s">
        <v>32</v>
      </c>
      <c r="N6" s="32" t="s">
        <v>36</v>
      </c>
      <c r="O6" s="261"/>
      <c r="P6" s="261"/>
      <c r="Q6" s="261"/>
    </row>
    <row r="7" spans="1:17" ht="15">
      <c r="A7" s="33" t="s">
        <v>90</v>
      </c>
      <c r="B7" s="34" t="s">
        <v>91</v>
      </c>
      <c r="C7" s="34" t="s">
        <v>92</v>
      </c>
      <c r="D7" s="66" t="s">
        <v>93</v>
      </c>
      <c r="E7" s="66"/>
      <c r="F7" s="34" t="s">
        <v>94</v>
      </c>
      <c r="G7" s="34" t="s">
        <v>95</v>
      </c>
      <c r="H7" s="34" t="s">
        <v>96</v>
      </c>
      <c r="I7" s="34" t="s">
        <v>97</v>
      </c>
      <c r="J7" s="34" t="s">
        <v>98</v>
      </c>
      <c r="K7" s="34" t="s">
        <v>99</v>
      </c>
      <c r="L7" s="34" t="s">
        <v>100</v>
      </c>
      <c r="M7" s="34" t="s">
        <v>101</v>
      </c>
      <c r="N7" s="34" t="s">
        <v>102</v>
      </c>
      <c r="O7" s="261" t="s">
        <v>93</v>
      </c>
      <c r="P7" s="261"/>
      <c r="Q7" s="261"/>
    </row>
    <row r="8" spans="1:17" ht="15">
      <c r="A8" s="31" t="s">
        <v>61</v>
      </c>
      <c r="B8" s="67" t="s">
        <v>297</v>
      </c>
      <c r="C8" s="34"/>
      <c r="D8" s="161">
        <v>86859.49</v>
      </c>
      <c r="E8" s="186">
        <f>SUM(F8:N8)</f>
        <v>86859.49</v>
      </c>
      <c r="F8" s="186">
        <v>4885.04</v>
      </c>
      <c r="G8" s="186">
        <v>17894.460000000003</v>
      </c>
      <c r="H8" s="186">
        <v>4456.43</v>
      </c>
      <c r="I8" s="186">
        <v>11402.72</v>
      </c>
      <c r="J8" s="186">
        <v>26742.139999999996</v>
      </c>
      <c r="K8" s="186">
        <v>13333.27</v>
      </c>
      <c r="L8" s="186">
        <v>2711.74</v>
      </c>
      <c r="M8" s="186">
        <v>3186</v>
      </c>
      <c r="N8" s="186">
        <v>2247.69</v>
      </c>
      <c r="O8" s="263">
        <v>86859.49</v>
      </c>
      <c r="P8" s="261"/>
      <c r="Q8" s="261"/>
    </row>
    <row r="9" spans="1:17" ht="15">
      <c r="A9" s="35">
        <v>1</v>
      </c>
      <c r="B9" s="36" t="s">
        <v>103</v>
      </c>
      <c r="C9" s="45" t="s">
        <v>104</v>
      </c>
      <c r="D9" s="44">
        <f>HLOOKUP(C9,'12CH'!$E$46:$AG$51,6,0)</f>
        <v>79610.73000000001</v>
      </c>
      <c r="E9" s="161">
        <f aca="true" t="shared" si="0" ref="E9:E36">SUM(F9:N9)</f>
        <v>79610.73</v>
      </c>
      <c r="F9" s="44">
        <f>SUM(F10,F12:F17)</f>
        <v>4308.013333333332</v>
      </c>
      <c r="G9" s="44">
        <f aca="true" t="shared" si="1" ref="G9:N9">SUM(G10,G12:G17)</f>
        <v>16136.733333333334</v>
      </c>
      <c r="H9" s="44">
        <f t="shared" si="1"/>
        <v>4156.743333333333</v>
      </c>
      <c r="I9" s="44">
        <f t="shared" si="1"/>
        <v>10758.263333333329</v>
      </c>
      <c r="J9" s="44">
        <f t="shared" si="1"/>
        <v>25080.403333333332</v>
      </c>
      <c r="K9" s="44">
        <f t="shared" si="1"/>
        <v>12321.08333333333</v>
      </c>
      <c r="L9" s="44">
        <f t="shared" si="1"/>
        <v>2370.6633333333334</v>
      </c>
      <c r="M9" s="44">
        <f t="shared" si="1"/>
        <v>2779.7333333333304</v>
      </c>
      <c r="N9" s="44">
        <f t="shared" si="1"/>
        <v>1699.0933333333332</v>
      </c>
      <c r="O9" s="263">
        <v>79611.23</v>
      </c>
      <c r="P9" s="263">
        <f>D9-O9</f>
        <v>-0.4999999999854481</v>
      </c>
      <c r="Q9" s="263">
        <f>D9-E9</f>
        <v>0</v>
      </c>
    </row>
    <row r="10" spans="1:17" ht="15">
      <c r="A10" s="37" t="s">
        <v>105</v>
      </c>
      <c r="B10" s="38" t="s">
        <v>106</v>
      </c>
      <c r="C10" s="39" t="s">
        <v>107</v>
      </c>
      <c r="D10" s="43">
        <f>HLOOKUP(C10,'12CH'!$E$46:$AG$51,6,0)</f>
        <v>6855.52</v>
      </c>
      <c r="E10" s="161">
        <f t="shared" si="0"/>
        <v>6855.5199999999995</v>
      </c>
      <c r="F10" s="43">
        <v>436.49</v>
      </c>
      <c r="G10" s="43">
        <v>1396.87</v>
      </c>
      <c r="H10" s="43">
        <v>841.51</v>
      </c>
      <c r="I10" s="43">
        <v>689.31</v>
      </c>
      <c r="J10" s="43">
        <v>338.01</v>
      </c>
      <c r="K10" s="43">
        <v>805.95</v>
      </c>
      <c r="L10" s="43">
        <v>444.30000000000007</v>
      </c>
      <c r="M10" s="43">
        <v>942.5699999999999</v>
      </c>
      <c r="N10" s="43">
        <v>960.51</v>
      </c>
      <c r="O10" s="263">
        <v>6855.52</v>
      </c>
      <c r="P10" s="263">
        <f aca="true" t="shared" si="2" ref="P10:P36">D10-O10</f>
        <v>0</v>
      </c>
      <c r="Q10" s="263">
        <f aca="true" t="shared" si="3" ref="Q10:Q36">D10-E10</f>
        <v>0</v>
      </c>
    </row>
    <row r="11" spans="1:17" ht="15">
      <c r="A11" s="37"/>
      <c r="B11" s="40" t="s">
        <v>108</v>
      </c>
      <c r="C11" s="41" t="s">
        <v>6</v>
      </c>
      <c r="D11" s="42">
        <f>HLOOKUP(C11,'12CH'!$E$46:$AG$51,6,0)</f>
        <v>3004.26</v>
      </c>
      <c r="E11" s="161">
        <f t="shared" si="0"/>
        <v>3004.26</v>
      </c>
      <c r="F11" s="42">
        <v>78.23</v>
      </c>
      <c r="G11" s="42">
        <v>260.23</v>
      </c>
      <c r="H11" s="42">
        <v>233.07</v>
      </c>
      <c r="I11" s="42">
        <v>52.71</v>
      </c>
      <c r="J11" s="42">
        <v>332.5</v>
      </c>
      <c r="K11" s="42">
        <v>135.14</v>
      </c>
      <c r="L11" s="42">
        <v>267.29</v>
      </c>
      <c r="M11" s="42">
        <v>816.88</v>
      </c>
      <c r="N11" s="42">
        <v>828.21</v>
      </c>
      <c r="O11" s="263">
        <v>3004.26</v>
      </c>
      <c r="P11" s="263">
        <f t="shared" si="2"/>
        <v>0</v>
      </c>
      <c r="Q11" s="263">
        <f t="shared" si="3"/>
        <v>0</v>
      </c>
    </row>
    <row r="12" spans="1:17" s="259" customFormat="1" ht="15">
      <c r="A12" s="37" t="s">
        <v>109</v>
      </c>
      <c r="B12" s="38" t="s">
        <v>110</v>
      </c>
      <c r="C12" s="39" t="s">
        <v>7</v>
      </c>
      <c r="D12" s="43">
        <f>HLOOKUP(C12,'12CH'!$E$46:$AG$51,6,0)</f>
        <v>20597.760000000002</v>
      </c>
      <c r="E12" s="161">
        <f t="shared" si="0"/>
        <v>20597.756666666653</v>
      </c>
      <c r="F12" s="43">
        <f>7+2930.68-4</f>
        <v>2933.68</v>
      </c>
      <c r="G12" s="43">
        <v>1246.7733333333333</v>
      </c>
      <c r="H12" s="43">
        <f>25+2405.52</f>
        <v>2430.52</v>
      </c>
      <c r="I12" s="43">
        <f>1834.92333333333-47-6-48.7</f>
        <v>1733.22333333333</v>
      </c>
      <c r="J12" s="43">
        <f>1838.7-83</f>
        <v>1755.7</v>
      </c>
      <c r="K12" s="43">
        <f>7561.63333333333-K17-0.9-29</f>
        <v>7486.73333333333</v>
      </c>
      <c r="L12" s="43">
        <f>1032.46-2</f>
        <v>1030.46</v>
      </c>
      <c r="M12" s="43">
        <f>1278.08333333333-36</f>
        <v>1242.08333333333</v>
      </c>
      <c r="N12" s="43">
        <v>738.5833333333334</v>
      </c>
      <c r="O12" s="263">
        <v>20646.456666666654</v>
      </c>
      <c r="P12" s="263">
        <f t="shared" si="2"/>
        <v>-48.69666666665216</v>
      </c>
      <c r="Q12" s="263"/>
    </row>
    <row r="13" spans="1:17" ht="15">
      <c r="A13" s="37" t="s">
        <v>111</v>
      </c>
      <c r="B13" s="38" t="s">
        <v>112</v>
      </c>
      <c r="C13" s="39" t="s">
        <v>8</v>
      </c>
      <c r="D13" s="43">
        <f>HLOOKUP(C13,'12CH'!$E$46:$AG$51,6,0)</f>
        <v>2924.5400000000004</v>
      </c>
      <c r="E13" s="161">
        <f t="shared" si="0"/>
        <v>2924.543333333333</v>
      </c>
      <c r="F13" s="43">
        <f>364.653333333333-4</f>
        <v>360.653333333333</v>
      </c>
      <c r="G13" s="43">
        <v>241.3</v>
      </c>
      <c r="H13" s="43">
        <v>82.90333333333334</v>
      </c>
      <c r="I13" s="43">
        <f>100.65-4</f>
        <v>96.65</v>
      </c>
      <c r="J13" s="43">
        <v>116.98333333333333</v>
      </c>
      <c r="K13" s="43">
        <f>1447.79-0.26</f>
        <v>1447.53</v>
      </c>
      <c r="L13" s="43">
        <v>66.33333333333333</v>
      </c>
      <c r="M13" s="43">
        <v>512.19</v>
      </c>
      <c r="N13" s="43">
        <v>0</v>
      </c>
      <c r="O13" s="263">
        <v>2924.543333333333</v>
      </c>
      <c r="P13" s="263">
        <f t="shared" si="2"/>
        <v>-0.0033333333326481807</v>
      </c>
      <c r="Q13" s="263"/>
    </row>
    <row r="14" spans="1:17" ht="15">
      <c r="A14" s="37" t="s">
        <v>113</v>
      </c>
      <c r="B14" s="38" t="s">
        <v>114</v>
      </c>
      <c r="C14" s="39" t="s">
        <v>115</v>
      </c>
      <c r="D14" s="43">
        <f>HLOOKUP(C14,'12CH'!$E$46:$AG$51,6,0)</f>
        <v>5320.44</v>
      </c>
      <c r="E14" s="161">
        <f t="shared" si="0"/>
        <v>5320.44</v>
      </c>
      <c r="F14" s="43">
        <v>340.83</v>
      </c>
      <c r="G14" s="43">
        <v>1387.45</v>
      </c>
      <c r="H14" s="43">
        <v>12.41</v>
      </c>
      <c r="I14" s="43">
        <v>2833.38</v>
      </c>
      <c r="J14" s="43">
        <v>746.37</v>
      </c>
      <c r="K14" s="43">
        <v>0</v>
      </c>
      <c r="L14" s="43">
        <v>0</v>
      </c>
      <c r="M14" s="43">
        <v>0</v>
      </c>
      <c r="N14" s="43">
        <v>0</v>
      </c>
      <c r="O14" s="263">
        <v>5320.44</v>
      </c>
      <c r="P14" s="263">
        <f t="shared" si="2"/>
        <v>0</v>
      </c>
      <c r="Q14" s="263"/>
    </row>
    <row r="15" spans="1:17" s="259" customFormat="1" ht="15">
      <c r="A15" s="37" t="s">
        <v>116</v>
      </c>
      <c r="B15" s="38" t="s">
        <v>42</v>
      </c>
      <c r="C15" s="39" t="s">
        <v>9</v>
      </c>
      <c r="D15" s="43">
        <f>HLOOKUP(C15,'12CH'!$E$46:$AG$51,6,0)</f>
        <v>43851.94000000001</v>
      </c>
      <c r="E15" s="161">
        <f t="shared" si="0"/>
        <v>43851.939999999995</v>
      </c>
      <c r="F15" s="43">
        <f>233.13-7</f>
        <v>226.13</v>
      </c>
      <c r="G15" s="43">
        <v>11864.34</v>
      </c>
      <c r="H15" s="43">
        <f>811.61-25</f>
        <v>786.61</v>
      </c>
      <c r="I15" s="43">
        <f>47+5310.5+48.2</f>
        <v>5405.7</v>
      </c>
      <c r="J15" s="43">
        <f>83+22040.34</f>
        <v>22123.34</v>
      </c>
      <c r="K15" s="43">
        <f>2504.43-0.02+29</f>
        <v>2533.41</v>
      </c>
      <c r="L15" s="43">
        <v>829.5699999999999</v>
      </c>
      <c r="M15" s="43">
        <f>36+46.84</f>
        <v>82.84</v>
      </c>
      <c r="N15" s="43">
        <v>0</v>
      </c>
      <c r="O15" s="263">
        <v>43803.74</v>
      </c>
      <c r="P15" s="263">
        <f t="shared" si="2"/>
        <v>48.20000000001164</v>
      </c>
      <c r="Q15" s="263"/>
    </row>
    <row r="16" spans="1:17" ht="15">
      <c r="A16" s="37" t="s">
        <v>117</v>
      </c>
      <c r="B16" s="38" t="s">
        <v>119</v>
      </c>
      <c r="C16" s="39" t="s">
        <v>120</v>
      </c>
      <c r="D16" s="43">
        <f>HLOOKUP(C16,'12CH'!$E$46:$AG$51,6,0)</f>
        <v>15.530000000000001</v>
      </c>
      <c r="E16" s="161">
        <f t="shared" si="0"/>
        <v>15.530000000000001</v>
      </c>
      <c r="F16" s="43">
        <v>10.23</v>
      </c>
      <c r="G16" s="43">
        <v>0</v>
      </c>
      <c r="H16" s="43">
        <v>2.79</v>
      </c>
      <c r="I16" s="43">
        <v>0</v>
      </c>
      <c r="J16" s="43">
        <v>0</v>
      </c>
      <c r="K16" s="43">
        <v>2.46</v>
      </c>
      <c r="L16" s="43">
        <v>0</v>
      </c>
      <c r="M16" s="43">
        <v>0.05</v>
      </c>
      <c r="N16" s="43">
        <v>0</v>
      </c>
      <c r="O16" s="263">
        <v>15.530000000000001</v>
      </c>
      <c r="P16" s="263">
        <f t="shared" si="2"/>
        <v>0</v>
      </c>
      <c r="Q16" s="263">
        <f t="shared" si="3"/>
        <v>0</v>
      </c>
    </row>
    <row r="17" spans="1:17" ht="15">
      <c r="A17" s="37" t="s">
        <v>118</v>
      </c>
      <c r="B17" s="38" t="s">
        <v>45</v>
      </c>
      <c r="C17" s="39" t="s">
        <v>10</v>
      </c>
      <c r="D17" s="43">
        <f>HLOOKUP(C17,'12CH'!$E$46:$AG$51,6,0)</f>
        <v>45</v>
      </c>
      <c r="E17" s="161">
        <f t="shared" si="0"/>
        <v>45</v>
      </c>
      <c r="F17" s="43"/>
      <c r="G17" s="43"/>
      <c r="H17" s="43"/>
      <c r="I17" s="43"/>
      <c r="J17" s="43"/>
      <c r="K17" s="43">
        <v>45</v>
      </c>
      <c r="L17" s="43"/>
      <c r="M17" s="43"/>
      <c r="N17" s="43"/>
      <c r="O17" s="263">
        <v>45</v>
      </c>
      <c r="P17" s="263">
        <f t="shared" si="2"/>
        <v>0</v>
      </c>
      <c r="Q17" s="263">
        <f t="shared" si="3"/>
        <v>0</v>
      </c>
    </row>
    <row r="18" spans="1:17" ht="15">
      <c r="A18" s="35">
        <v>2</v>
      </c>
      <c r="B18" s="36" t="s">
        <v>121</v>
      </c>
      <c r="C18" s="45" t="s">
        <v>122</v>
      </c>
      <c r="D18" s="44">
        <f>HLOOKUP(C18,'12CH'!$E$46:$AG$51,6,0)</f>
        <v>3729.1800000000003</v>
      </c>
      <c r="E18" s="161">
        <f t="shared" si="0"/>
        <v>3729.1800000000026</v>
      </c>
      <c r="F18" s="44">
        <f>SUM(F19:F35)</f>
        <v>485.8866666666668</v>
      </c>
      <c r="G18" s="44">
        <f aca="true" t="shared" si="4" ref="G18:N18">SUM(G19:G35)</f>
        <v>360.6666666666677</v>
      </c>
      <c r="H18" s="44">
        <f t="shared" si="4"/>
        <v>259.1666666666675</v>
      </c>
      <c r="I18" s="44">
        <f>SUM(I19:I35)</f>
        <v>431.7666666666687</v>
      </c>
      <c r="J18" s="44">
        <f t="shared" si="4"/>
        <v>224.43666666666593</v>
      </c>
      <c r="K18" s="44">
        <f>SUM(K19:K35)</f>
        <v>723.0966666666661</v>
      </c>
      <c r="L18" s="44">
        <f t="shared" si="4"/>
        <v>301.0966666666667</v>
      </c>
      <c r="M18" s="44">
        <f t="shared" si="4"/>
        <v>395.1466666666657</v>
      </c>
      <c r="N18" s="44">
        <f t="shared" si="4"/>
        <v>547.9166666666669</v>
      </c>
      <c r="O18" s="263">
        <v>3728.68</v>
      </c>
      <c r="P18" s="263">
        <f t="shared" si="2"/>
        <v>0.5000000000004547</v>
      </c>
      <c r="Q18" s="263">
        <f t="shared" si="3"/>
        <v>0</v>
      </c>
    </row>
    <row r="19" spans="1:17" ht="15">
      <c r="A19" s="37" t="s">
        <v>123</v>
      </c>
      <c r="B19" s="38" t="s">
        <v>124</v>
      </c>
      <c r="C19" s="39" t="s">
        <v>125</v>
      </c>
      <c r="D19" s="43">
        <f>HLOOKUP(C19,'12CH'!$E$46:$AG$51,6,0)</f>
        <v>28.03</v>
      </c>
      <c r="E19" s="161">
        <f t="shared" si="0"/>
        <v>28.03</v>
      </c>
      <c r="F19" s="43">
        <v>8.03</v>
      </c>
      <c r="G19" s="43">
        <v>0</v>
      </c>
      <c r="H19" s="43">
        <v>0</v>
      </c>
      <c r="I19" s="43">
        <v>0</v>
      </c>
      <c r="J19" s="43">
        <v>0</v>
      </c>
      <c r="K19" s="43">
        <v>20</v>
      </c>
      <c r="L19" s="43">
        <v>0</v>
      </c>
      <c r="M19" s="43">
        <v>0</v>
      </c>
      <c r="N19" s="43">
        <v>0</v>
      </c>
      <c r="O19" s="263">
        <v>28.03</v>
      </c>
      <c r="P19" s="263">
        <f t="shared" si="2"/>
        <v>0</v>
      </c>
      <c r="Q19" s="263">
        <f t="shared" si="3"/>
        <v>0</v>
      </c>
    </row>
    <row r="20" spans="1:17" ht="15">
      <c r="A20" s="37" t="s">
        <v>126</v>
      </c>
      <c r="B20" s="38" t="s">
        <v>127</v>
      </c>
      <c r="C20" s="39" t="s">
        <v>128</v>
      </c>
      <c r="D20" s="43">
        <f>HLOOKUP(C20,'12CH'!$E$46:$AG$51,6,0)</f>
        <v>2.14</v>
      </c>
      <c r="E20" s="161">
        <f t="shared" si="0"/>
        <v>2.1399999999999997</v>
      </c>
      <c r="F20" s="43">
        <v>0</v>
      </c>
      <c r="G20" s="43">
        <v>0</v>
      </c>
      <c r="H20" s="43">
        <v>0</v>
      </c>
      <c r="I20" s="43">
        <v>0</v>
      </c>
      <c r="J20" s="43">
        <v>0</v>
      </c>
      <c r="K20" s="43">
        <v>0</v>
      </c>
      <c r="L20" s="43">
        <v>0</v>
      </c>
      <c r="M20" s="43">
        <f>0.5+1.64</f>
        <v>2.1399999999999997</v>
      </c>
      <c r="N20" s="43">
        <v>0</v>
      </c>
      <c r="O20" s="261">
        <v>2.14</v>
      </c>
      <c r="P20" s="263">
        <f t="shared" si="2"/>
        <v>0</v>
      </c>
      <c r="Q20" s="263">
        <f t="shared" si="3"/>
        <v>0</v>
      </c>
    </row>
    <row r="21" spans="1:17" ht="15">
      <c r="A21" s="37" t="s">
        <v>129</v>
      </c>
      <c r="B21" s="38" t="s">
        <v>24</v>
      </c>
      <c r="C21" s="39" t="s">
        <v>11</v>
      </c>
      <c r="D21" s="43">
        <f>HLOOKUP(C21,'12CH'!$E$46:$AG$51,6,0)</f>
        <v>30</v>
      </c>
      <c r="E21" s="161">
        <f t="shared" si="0"/>
        <v>30</v>
      </c>
      <c r="F21" s="43">
        <v>30</v>
      </c>
      <c r="G21" s="43">
        <v>0</v>
      </c>
      <c r="H21" s="43">
        <v>0</v>
      </c>
      <c r="I21" s="43">
        <v>0</v>
      </c>
      <c r="J21" s="43">
        <v>0</v>
      </c>
      <c r="K21" s="43">
        <v>0</v>
      </c>
      <c r="L21" s="43">
        <v>0</v>
      </c>
      <c r="M21" s="43">
        <v>0</v>
      </c>
      <c r="N21" s="43">
        <v>0</v>
      </c>
      <c r="O21" s="261">
        <v>30</v>
      </c>
      <c r="P21" s="263">
        <f t="shared" si="2"/>
        <v>0</v>
      </c>
      <c r="Q21" s="263">
        <f t="shared" si="3"/>
        <v>0</v>
      </c>
    </row>
    <row r="22" spans="1:17" ht="15">
      <c r="A22" s="37" t="s">
        <v>130</v>
      </c>
      <c r="B22" s="38" t="s">
        <v>46</v>
      </c>
      <c r="C22" s="39" t="s">
        <v>12</v>
      </c>
      <c r="D22" s="43">
        <f>HLOOKUP(C22,'12CH'!$E$46:$AG$51,6,0)</f>
        <v>71</v>
      </c>
      <c r="E22" s="161">
        <f t="shared" si="0"/>
        <v>71</v>
      </c>
      <c r="F22" s="43">
        <v>16</v>
      </c>
      <c r="G22" s="43">
        <v>48</v>
      </c>
      <c r="H22" s="43">
        <v>0</v>
      </c>
      <c r="I22" s="43">
        <v>0</v>
      </c>
      <c r="J22" s="43">
        <v>7</v>
      </c>
      <c r="K22" s="43">
        <v>0</v>
      </c>
      <c r="L22" s="43">
        <v>0</v>
      </c>
      <c r="M22" s="43">
        <v>0</v>
      </c>
      <c r="N22" s="43">
        <v>0</v>
      </c>
      <c r="O22" s="261">
        <v>71</v>
      </c>
      <c r="P22" s="263">
        <f t="shared" si="2"/>
        <v>0</v>
      </c>
      <c r="Q22" s="263">
        <f t="shared" si="3"/>
        <v>0</v>
      </c>
    </row>
    <row r="23" spans="1:17" ht="15">
      <c r="A23" s="37" t="s">
        <v>131</v>
      </c>
      <c r="B23" s="38" t="s">
        <v>134</v>
      </c>
      <c r="C23" s="39" t="s">
        <v>135</v>
      </c>
      <c r="D23" s="43">
        <f>HLOOKUP(C23,'12CH'!$E$46:$AG$51,6,0)</f>
        <v>69.22</v>
      </c>
      <c r="E23" s="161">
        <f t="shared" si="0"/>
        <v>69.22</v>
      </c>
      <c r="F23" s="43">
        <v>2.32</v>
      </c>
      <c r="G23" s="43">
        <v>0.5</v>
      </c>
      <c r="H23" s="43">
        <v>0.17</v>
      </c>
      <c r="I23" s="43">
        <v>0</v>
      </c>
      <c r="J23" s="43">
        <v>0.59</v>
      </c>
      <c r="K23" s="43">
        <v>49.14</v>
      </c>
      <c r="L23" s="43">
        <v>0.16</v>
      </c>
      <c r="M23" s="43">
        <v>0.69</v>
      </c>
      <c r="N23" s="43">
        <v>15.65</v>
      </c>
      <c r="O23" s="261">
        <v>69.22</v>
      </c>
      <c r="P23" s="263">
        <f t="shared" si="2"/>
        <v>0</v>
      </c>
      <c r="Q23" s="263">
        <f t="shared" si="3"/>
        <v>0</v>
      </c>
    </row>
    <row r="24" spans="1:17" ht="15">
      <c r="A24" s="37" t="s">
        <v>132</v>
      </c>
      <c r="B24" s="38" t="s">
        <v>137</v>
      </c>
      <c r="C24" s="39" t="s">
        <v>138</v>
      </c>
      <c r="D24" s="43">
        <f>HLOOKUP(C24,'12CH'!$E$46:$AG$51,6,0)</f>
        <v>34.63</v>
      </c>
      <c r="E24" s="161">
        <f t="shared" si="0"/>
        <v>34.63</v>
      </c>
      <c r="F24" s="43">
        <v>8</v>
      </c>
      <c r="G24" s="43">
        <f>34.63-8</f>
        <v>26.630000000000003</v>
      </c>
      <c r="H24" s="43">
        <v>0</v>
      </c>
      <c r="I24" s="43"/>
      <c r="J24" s="43">
        <v>0</v>
      </c>
      <c r="K24" s="43">
        <v>0</v>
      </c>
      <c r="L24" s="43">
        <v>0</v>
      </c>
      <c r="M24" s="43">
        <v>0</v>
      </c>
      <c r="N24" s="43">
        <v>0</v>
      </c>
      <c r="O24" s="261">
        <v>42.63</v>
      </c>
      <c r="P24" s="263">
        <f t="shared" si="2"/>
        <v>-8</v>
      </c>
      <c r="Q24" s="263">
        <f t="shared" si="3"/>
        <v>0</v>
      </c>
    </row>
    <row r="25" spans="1:17" ht="15">
      <c r="A25" s="37" t="s">
        <v>133</v>
      </c>
      <c r="B25" s="38" t="s">
        <v>284</v>
      </c>
      <c r="C25" s="39" t="s">
        <v>141</v>
      </c>
      <c r="D25" s="43">
        <f>HLOOKUP(C25,'12CH'!$E$46:$AG$51,6,0)</f>
        <v>645.6</v>
      </c>
      <c r="E25" s="161">
        <f t="shared" si="0"/>
        <v>645.6000000000004</v>
      </c>
      <c r="F25" s="43">
        <v>90.88666666666667</v>
      </c>
      <c r="G25" s="43">
        <v>56.42666666666667</v>
      </c>
      <c r="H25" s="43">
        <v>52.24666666666666</v>
      </c>
      <c r="I25" s="43">
        <v>40.43666666666666</v>
      </c>
      <c r="J25" s="43">
        <v>42.53666666666667</v>
      </c>
      <c r="K25" s="43">
        <f>146.466666666667+0.02+0.01+0.41</f>
        <v>146.906666666667</v>
      </c>
      <c r="L25" s="43">
        <f>34.8666666666667+2-0.02</f>
        <v>36.8466666666667</v>
      </c>
      <c r="M25" s="43">
        <v>116.41666666666667</v>
      </c>
      <c r="N25" s="43">
        <v>62.89666666666667</v>
      </c>
      <c r="O25" s="261">
        <v>645.6</v>
      </c>
      <c r="P25" s="263">
        <f t="shared" si="2"/>
        <v>0</v>
      </c>
      <c r="Q25" s="263">
        <f t="shared" si="3"/>
        <v>0</v>
      </c>
    </row>
    <row r="26" spans="1:17" ht="15">
      <c r="A26" s="37" t="s">
        <v>136</v>
      </c>
      <c r="B26" s="38" t="s">
        <v>37</v>
      </c>
      <c r="C26" s="39" t="s">
        <v>16</v>
      </c>
      <c r="D26" s="43">
        <f>HLOOKUP(C26,'12CH'!$E$46:$AG$51,6,0)</f>
        <v>5</v>
      </c>
      <c r="E26" s="161">
        <f t="shared" si="0"/>
        <v>5</v>
      </c>
      <c r="F26" s="43">
        <v>0</v>
      </c>
      <c r="G26" s="43">
        <v>0</v>
      </c>
      <c r="H26" s="43">
        <v>0</v>
      </c>
      <c r="I26" s="43">
        <v>5</v>
      </c>
      <c r="J26" s="43">
        <v>0</v>
      </c>
      <c r="K26" s="43">
        <v>0</v>
      </c>
      <c r="L26" s="43">
        <v>0</v>
      </c>
      <c r="M26" s="43">
        <v>0</v>
      </c>
      <c r="N26" s="43">
        <v>0</v>
      </c>
      <c r="O26" s="261">
        <v>5</v>
      </c>
      <c r="P26" s="263">
        <f t="shared" si="2"/>
        <v>0</v>
      </c>
      <c r="Q26" s="263">
        <f t="shared" si="3"/>
        <v>0</v>
      </c>
    </row>
    <row r="27" spans="1:17" ht="15">
      <c r="A27" s="37" t="s">
        <v>139</v>
      </c>
      <c r="B27" s="38" t="s">
        <v>52</v>
      </c>
      <c r="C27" s="39" t="s">
        <v>17</v>
      </c>
      <c r="D27" s="43">
        <f>HLOOKUP(C27,'12CH'!$E$46:$AG$51,6,0)</f>
        <v>930.4499999999999</v>
      </c>
      <c r="E27" s="161">
        <f t="shared" si="0"/>
        <v>930.45</v>
      </c>
      <c r="F27" s="43">
        <v>102.98</v>
      </c>
      <c r="G27" s="43">
        <v>86.63000000000001</v>
      </c>
      <c r="H27" s="43">
        <v>36.26</v>
      </c>
      <c r="I27" s="43">
        <v>63.07</v>
      </c>
      <c r="J27" s="43">
        <v>39.510000000000005</v>
      </c>
      <c r="K27" s="43">
        <f>157.67-0.03+1.5-0.48</f>
        <v>158.66</v>
      </c>
      <c r="L27" s="43">
        <v>31.83</v>
      </c>
      <c r="M27" s="43">
        <v>134.04</v>
      </c>
      <c r="N27" s="43">
        <v>277.47</v>
      </c>
      <c r="O27" s="261">
        <v>930.45</v>
      </c>
      <c r="P27" s="263">
        <f t="shared" si="2"/>
        <v>0</v>
      </c>
      <c r="Q27" s="263">
        <f t="shared" si="3"/>
        <v>0</v>
      </c>
    </row>
    <row r="28" spans="1:17" ht="15">
      <c r="A28" s="37" t="s">
        <v>142</v>
      </c>
      <c r="B28" s="38" t="s">
        <v>148</v>
      </c>
      <c r="C28" s="39" t="s">
        <v>18</v>
      </c>
      <c r="D28" s="43">
        <f>HLOOKUP(C28,'12CH'!$E$46:$AG$51,6,0)</f>
        <v>29.909999999999997</v>
      </c>
      <c r="E28" s="161">
        <f t="shared" si="0"/>
        <v>29.909999999999997</v>
      </c>
      <c r="F28" s="43">
        <v>9.85</v>
      </c>
      <c r="G28" s="43">
        <v>0.69</v>
      </c>
      <c r="H28" s="43">
        <v>1.14</v>
      </c>
      <c r="I28" s="43">
        <v>1.43</v>
      </c>
      <c r="J28" s="43">
        <v>0.94</v>
      </c>
      <c r="K28" s="43">
        <v>0.78</v>
      </c>
      <c r="L28" s="43">
        <v>0.53</v>
      </c>
      <c r="M28" s="43">
        <f>12.49+0.5</f>
        <v>12.99</v>
      </c>
      <c r="N28" s="43">
        <v>1.56</v>
      </c>
      <c r="O28" s="261">
        <v>29.91</v>
      </c>
      <c r="P28" s="263">
        <f t="shared" si="2"/>
        <v>0</v>
      </c>
      <c r="Q28" s="263">
        <f t="shared" si="3"/>
        <v>0</v>
      </c>
    </row>
    <row r="29" spans="1:17" ht="15">
      <c r="A29" s="37" t="s">
        <v>143</v>
      </c>
      <c r="B29" s="38" t="s">
        <v>150</v>
      </c>
      <c r="C29" s="39" t="s">
        <v>151</v>
      </c>
      <c r="D29" s="43">
        <f>HLOOKUP(C29,'12CH'!$E$46:$AG$51,6,0)</f>
        <v>1.91</v>
      </c>
      <c r="E29" s="161">
        <f t="shared" si="0"/>
        <v>1.91</v>
      </c>
      <c r="F29" s="43">
        <v>0</v>
      </c>
      <c r="G29" s="43">
        <v>0</v>
      </c>
      <c r="H29" s="43">
        <v>0</v>
      </c>
      <c r="I29" s="43">
        <v>0</v>
      </c>
      <c r="J29" s="43">
        <v>0</v>
      </c>
      <c r="K29" s="43">
        <v>0</v>
      </c>
      <c r="L29" s="43">
        <v>0</v>
      </c>
      <c r="M29" s="43">
        <v>1.91</v>
      </c>
      <c r="N29" s="43">
        <v>0</v>
      </c>
      <c r="O29" s="261">
        <v>1.91</v>
      </c>
      <c r="P29" s="263">
        <f t="shared" si="2"/>
        <v>0</v>
      </c>
      <c r="Q29" s="263">
        <f t="shared" si="3"/>
        <v>0</v>
      </c>
    </row>
    <row r="30" spans="1:17" ht="15">
      <c r="A30" s="37" t="s">
        <v>144</v>
      </c>
      <c r="B30" s="38" t="s">
        <v>153</v>
      </c>
      <c r="C30" s="39" t="s">
        <v>154</v>
      </c>
      <c r="D30" s="43">
        <f>HLOOKUP(C30,'12CH'!$E$46:$AG$51,6,0)</f>
        <v>3.09</v>
      </c>
      <c r="E30" s="161">
        <f t="shared" si="0"/>
        <v>3.09</v>
      </c>
      <c r="F30" s="43">
        <v>0</v>
      </c>
      <c r="G30" s="43">
        <v>0</v>
      </c>
      <c r="H30" s="43">
        <v>0</v>
      </c>
      <c r="I30" s="43">
        <v>0</v>
      </c>
      <c r="J30" s="43">
        <v>0.3</v>
      </c>
      <c r="K30" s="43">
        <v>1.63</v>
      </c>
      <c r="L30" s="43">
        <v>0</v>
      </c>
      <c r="M30" s="43">
        <v>0.25</v>
      </c>
      <c r="N30" s="43">
        <v>0.91</v>
      </c>
      <c r="O30" s="263">
        <v>3.09</v>
      </c>
      <c r="P30" s="263">
        <f t="shared" si="2"/>
        <v>0</v>
      </c>
      <c r="Q30" s="263">
        <f t="shared" si="3"/>
        <v>0</v>
      </c>
    </row>
    <row r="31" spans="1:17" ht="15">
      <c r="A31" s="37" t="s">
        <v>145</v>
      </c>
      <c r="B31" s="38" t="s">
        <v>38</v>
      </c>
      <c r="C31" s="39" t="s">
        <v>19</v>
      </c>
      <c r="D31" s="43">
        <f>HLOOKUP(C31,'12CH'!$E$46:$AG$51,6,0)</f>
        <v>53.400000000000006</v>
      </c>
      <c r="E31" s="161">
        <f t="shared" si="0"/>
        <v>53.400000000000006</v>
      </c>
      <c r="F31" s="43">
        <v>8.58</v>
      </c>
      <c r="G31" s="43">
        <v>8.47</v>
      </c>
      <c r="H31" s="43">
        <v>2.7</v>
      </c>
      <c r="I31" s="43">
        <v>12.26</v>
      </c>
      <c r="J31" s="43">
        <v>2.75</v>
      </c>
      <c r="K31" s="43">
        <v>2.81</v>
      </c>
      <c r="L31" s="43">
        <v>2.35</v>
      </c>
      <c r="M31" s="43">
        <v>6.09</v>
      </c>
      <c r="N31" s="43">
        <v>7.39</v>
      </c>
      <c r="O31" s="261">
        <v>53.4</v>
      </c>
      <c r="P31" s="263">
        <f t="shared" si="2"/>
        <v>0</v>
      </c>
      <c r="Q31" s="263">
        <f t="shared" si="3"/>
        <v>0</v>
      </c>
    </row>
    <row r="32" spans="1:17" ht="15">
      <c r="A32" s="37" t="s">
        <v>146</v>
      </c>
      <c r="B32" s="38" t="s">
        <v>54</v>
      </c>
      <c r="C32" s="39" t="s">
        <v>20</v>
      </c>
      <c r="D32" s="43">
        <f>HLOOKUP(C32,'12CH'!$E$46:$AG$51,6,0)</f>
        <v>47.47</v>
      </c>
      <c r="E32" s="161">
        <f t="shared" si="0"/>
        <v>47.47</v>
      </c>
      <c r="F32" s="43">
        <v>0</v>
      </c>
      <c r="G32" s="43">
        <v>8</v>
      </c>
      <c r="H32" s="43">
        <v>2.5</v>
      </c>
      <c r="I32" s="43">
        <f>10+4.77</f>
        <v>14.77</v>
      </c>
      <c r="J32" s="43">
        <v>0</v>
      </c>
      <c r="K32" s="43">
        <v>0</v>
      </c>
      <c r="L32" s="43">
        <v>0</v>
      </c>
      <c r="M32" s="43">
        <v>7</v>
      </c>
      <c r="N32" s="43">
        <v>15.2</v>
      </c>
      <c r="O32" s="263">
        <v>39.47</v>
      </c>
      <c r="P32" s="263">
        <f t="shared" si="2"/>
        <v>8</v>
      </c>
      <c r="Q32" s="263">
        <f t="shared" si="3"/>
        <v>0</v>
      </c>
    </row>
    <row r="33" spans="1:17" ht="15">
      <c r="A33" s="37" t="s">
        <v>147</v>
      </c>
      <c r="B33" s="38" t="s">
        <v>41</v>
      </c>
      <c r="C33" s="39" t="s">
        <v>21</v>
      </c>
      <c r="D33" s="43">
        <f>HLOOKUP(C33,'12CH'!$E$46:$AG$51,6,0)</f>
        <v>2.45</v>
      </c>
      <c r="E33" s="161">
        <f t="shared" si="0"/>
        <v>2.45</v>
      </c>
      <c r="F33" s="43">
        <v>0.04</v>
      </c>
      <c r="G33" s="43">
        <v>0.15</v>
      </c>
      <c r="H33" s="43">
        <v>0.29000000000000004</v>
      </c>
      <c r="I33" s="43">
        <v>0</v>
      </c>
      <c r="J33" s="43">
        <v>0.64</v>
      </c>
      <c r="K33" s="43">
        <v>0.98</v>
      </c>
      <c r="L33" s="43">
        <v>0.2</v>
      </c>
      <c r="M33" s="43">
        <v>0.04</v>
      </c>
      <c r="N33" s="43">
        <v>0.11</v>
      </c>
      <c r="O33" s="261">
        <v>2.45</v>
      </c>
      <c r="P33" s="263">
        <f t="shared" si="2"/>
        <v>0</v>
      </c>
      <c r="Q33" s="263">
        <f t="shared" si="3"/>
        <v>0</v>
      </c>
    </row>
    <row r="34" spans="1:17" s="259" customFormat="1" ht="15">
      <c r="A34" s="37" t="s">
        <v>149</v>
      </c>
      <c r="B34" s="38" t="s">
        <v>155</v>
      </c>
      <c r="C34" s="39" t="s">
        <v>22</v>
      </c>
      <c r="D34" s="43">
        <f>HLOOKUP(C34,'12CH'!$E$46:$AG$51,6,0)</f>
        <v>1757.44</v>
      </c>
      <c r="E34" s="161">
        <f t="shared" si="0"/>
        <v>1757.4400000000012</v>
      </c>
      <c r="F34" s="43">
        <v>208.41000000000008</v>
      </c>
      <c r="G34" s="43">
        <v>122.95000000000103</v>
      </c>
      <c r="H34" s="43">
        <v>162.6500000000008</v>
      </c>
      <c r="I34" s="43">
        <f>293.550000000002+0.5</f>
        <v>294.050000000002</v>
      </c>
      <c r="J34" s="43">
        <v>128.17999999999927</v>
      </c>
      <c r="K34" s="43">
        <f>340.229999999999+0.48</f>
        <v>340.709999999999</v>
      </c>
      <c r="L34" s="43">
        <f>225.1+0.02</f>
        <v>225.12</v>
      </c>
      <c r="M34" s="43">
        <f>111.599999999999-0.5</f>
        <v>111.099999999999</v>
      </c>
      <c r="N34" s="43">
        <v>164.27000000000012</v>
      </c>
      <c r="O34" s="261">
        <v>1756.94</v>
      </c>
      <c r="P34" s="263">
        <f t="shared" si="2"/>
        <v>0.5</v>
      </c>
      <c r="Q34" s="263">
        <f t="shared" si="3"/>
        <v>0</v>
      </c>
    </row>
    <row r="35" spans="1:17" ht="15">
      <c r="A35" s="37" t="s">
        <v>152</v>
      </c>
      <c r="B35" s="38" t="s">
        <v>156</v>
      </c>
      <c r="C35" s="39" t="s">
        <v>157</v>
      </c>
      <c r="D35" s="43">
        <f>HLOOKUP(C35,'12CH'!$E$46:$AG$51,6,0)</f>
        <v>17.44</v>
      </c>
      <c r="E35" s="161">
        <f t="shared" si="0"/>
        <v>17.44</v>
      </c>
      <c r="F35" s="43">
        <v>0.79</v>
      </c>
      <c r="G35" s="43">
        <v>2.22</v>
      </c>
      <c r="H35" s="43">
        <v>1.21</v>
      </c>
      <c r="I35" s="43">
        <v>0.75</v>
      </c>
      <c r="J35" s="43">
        <v>1.9900000000000002</v>
      </c>
      <c r="K35" s="43">
        <v>1.48</v>
      </c>
      <c r="L35" s="43">
        <v>4.06</v>
      </c>
      <c r="M35" s="43">
        <v>2.48</v>
      </c>
      <c r="N35" s="43">
        <v>2.46</v>
      </c>
      <c r="O35" s="261">
        <v>17.44</v>
      </c>
      <c r="P35" s="263">
        <f t="shared" si="2"/>
        <v>0</v>
      </c>
      <c r="Q35" s="263">
        <f t="shared" si="3"/>
        <v>0</v>
      </c>
    </row>
    <row r="36" spans="1:17" ht="15">
      <c r="A36" s="35">
        <v>3</v>
      </c>
      <c r="B36" s="36" t="s">
        <v>158</v>
      </c>
      <c r="C36" s="46" t="s">
        <v>159</v>
      </c>
      <c r="D36" s="44">
        <f>HLOOKUP(C36,'12CH'!$E$46:$AG$51,6,0)</f>
        <v>3519.58</v>
      </c>
      <c r="E36" s="161">
        <f t="shared" si="0"/>
        <v>3519.58</v>
      </c>
      <c r="F36" s="44">
        <v>91.14</v>
      </c>
      <c r="G36" s="44">
        <v>1397.06</v>
      </c>
      <c r="H36" s="44">
        <v>40.52</v>
      </c>
      <c r="I36" s="44">
        <v>212.69</v>
      </c>
      <c r="J36" s="44">
        <v>1437.3000000000002</v>
      </c>
      <c r="K36" s="44">
        <f>290.6-0.7-0.8-0.01</f>
        <v>289.09000000000003</v>
      </c>
      <c r="L36" s="44">
        <v>39.98</v>
      </c>
      <c r="M36" s="44">
        <v>11.12</v>
      </c>
      <c r="N36" s="44">
        <v>0.68</v>
      </c>
      <c r="O36" s="261">
        <v>3519.58</v>
      </c>
      <c r="P36" s="263">
        <f t="shared" si="2"/>
        <v>0</v>
      </c>
      <c r="Q36" s="263">
        <f t="shared" si="3"/>
        <v>0</v>
      </c>
    </row>
    <row r="37" spans="1:17" s="260" customFormat="1" ht="12">
      <c r="A37" s="264"/>
      <c r="B37" s="264"/>
      <c r="C37" s="264"/>
      <c r="D37" s="264"/>
      <c r="E37" s="265"/>
      <c r="F37" s="265"/>
      <c r="G37" s="265"/>
      <c r="H37" s="265"/>
      <c r="I37" s="265"/>
      <c r="J37" s="265"/>
      <c r="K37" s="265"/>
      <c r="L37" s="265"/>
      <c r="M37" s="265"/>
      <c r="N37" s="265"/>
      <c r="O37" s="264"/>
      <c r="P37" s="264"/>
      <c r="Q37" s="264"/>
    </row>
    <row r="38" spans="1:17" ht="15">
      <c r="A38" s="261"/>
      <c r="B38" s="261"/>
      <c r="C38" s="261"/>
      <c r="D38" s="261"/>
      <c r="E38" s="263"/>
      <c r="F38" s="263"/>
      <c r="G38" s="263"/>
      <c r="H38" s="263"/>
      <c r="I38" s="263"/>
      <c r="J38" s="263"/>
      <c r="K38" s="263"/>
      <c r="L38" s="263"/>
      <c r="M38" s="263"/>
      <c r="N38" s="263"/>
      <c r="O38" s="261"/>
      <c r="P38" s="261"/>
      <c r="Q38" s="261"/>
    </row>
  </sheetData>
  <sheetProtection/>
  <mergeCells count="9">
    <mergeCell ref="A2:B2"/>
    <mergeCell ref="C2:N2"/>
    <mergeCell ref="L4:N4"/>
    <mergeCell ref="A5:A6"/>
    <mergeCell ref="B5:B6"/>
    <mergeCell ref="C5:C6"/>
    <mergeCell ref="D5:D6"/>
    <mergeCell ref="F5:N5"/>
    <mergeCell ref="C3:N3"/>
  </mergeCells>
  <printOptions horizontalCentered="1"/>
  <pageMargins left="0.196850393700787" right="0.196850393700787" top="0.393700787401575" bottom="0.393700787401575" header="0.31496062992126" footer="0.3149606299212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O19"/>
  <sheetViews>
    <sheetView showZeros="0" zoomScalePageLayoutView="0" workbookViewId="0" topLeftCell="B1">
      <selection activeCell="F12" sqref="F12"/>
    </sheetView>
  </sheetViews>
  <sheetFormatPr defaultColWidth="9.140625" defaultRowHeight="15"/>
  <cols>
    <col min="1" max="1" width="10.7109375" style="0" customWidth="1"/>
    <col min="2" max="2" width="49.140625" style="0" customWidth="1"/>
    <col min="3" max="3" width="10.57421875" style="0" customWidth="1"/>
    <col min="4" max="4" width="12.7109375" style="0" customWidth="1"/>
  </cols>
  <sheetData>
    <row r="1" spans="1:13" ht="15" customHeight="1">
      <c r="A1" s="197" t="s">
        <v>171</v>
      </c>
      <c r="B1" s="293" t="s">
        <v>172</v>
      </c>
      <c r="C1" s="293"/>
      <c r="D1" s="293"/>
      <c r="E1" s="293"/>
      <c r="F1" s="293"/>
      <c r="G1" s="293"/>
      <c r="H1" s="293"/>
      <c r="I1" s="293"/>
      <c r="J1" s="293"/>
      <c r="K1" s="293"/>
      <c r="L1" s="293"/>
      <c r="M1" s="293"/>
    </row>
    <row r="2" spans="1:13" ht="15" customHeight="1">
      <c r="A2" s="197"/>
      <c r="B2" s="294"/>
      <c r="C2" s="294"/>
      <c r="D2" s="294"/>
      <c r="E2" s="294"/>
      <c r="F2" s="294"/>
      <c r="G2" s="294"/>
      <c r="H2" s="294"/>
      <c r="I2" s="294"/>
      <c r="J2" s="294"/>
      <c r="K2" s="294"/>
      <c r="L2" s="294"/>
      <c r="M2" s="294"/>
    </row>
    <row r="3" spans="1:13" ht="15">
      <c r="A3" s="69"/>
      <c r="B3" s="69"/>
      <c r="C3" s="70"/>
      <c r="D3" s="70"/>
      <c r="E3" s="70"/>
      <c r="F3" s="70"/>
      <c r="G3" s="70"/>
      <c r="H3" s="70"/>
      <c r="I3" s="70"/>
      <c r="J3" s="70"/>
      <c r="K3" s="291" t="s">
        <v>81</v>
      </c>
      <c r="L3" s="291"/>
      <c r="M3" s="291"/>
    </row>
    <row r="4" spans="1:13" ht="14.25" customHeight="1">
      <c r="A4" s="286" t="s">
        <v>83</v>
      </c>
      <c r="B4" s="287" t="s">
        <v>84</v>
      </c>
      <c r="C4" s="287" t="s">
        <v>85</v>
      </c>
      <c r="D4" s="287" t="s">
        <v>86</v>
      </c>
      <c r="E4" s="287" t="s">
        <v>87</v>
      </c>
      <c r="F4" s="287"/>
      <c r="G4" s="287"/>
      <c r="H4" s="287"/>
      <c r="I4" s="287"/>
      <c r="J4" s="287"/>
      <c r="K4" s="287"/>
      <c r="L4" s="287"/>
      <c r="M4" s="287"/>
    </row>
    <row r="5" spans="1:13" ht="15">
      <c r="A5" s="286"/>
      <c r="B5" s="287"/>
      <c r="C5" s="287"/>
      <c r="D5" s="287"/>
      <c r="E5" s="23" t="s">
        <v>26</v>
      </c>
      <c r="F5" s="23" t="s">
        <v>29</v>
      </c>
      <c r="G5" s="23" t="s">
        <v>88</v>
      </c>
      <c r="H5" s="23" t="s">
        <v>30</v>
      </c>
      <c r="I5" s="23" t="s">
        <v>33</v>
      </c>
      <c r="J5" s="23" t="s">
        <v>34</v>
      </c>
      <c r="K5" s="23" t="s">
        <v>89</v>
      </c>
      <c r="L5" s="23" t="s">
        <v>32</v>
      </c>
      <c r="M5" s="23" t="s">
        <v>36</v>
      </c>
    </row>
    <row r="6" spans="1:13" ht="25.5">
      <c r="A6" s="51" t="s">
        <v>90</v>
      </c>
      <c r="B6" s="52" t="s">
        <v>91</v>
      </c>
      <c r="C6" s="52" t="s">
        <v>92</v>
      </c>
      <c r="D6" s="52" t="s">
        <v>93</v>
      </c>
      <c r="E6" s="52" t="s">
        <v>94</v>
      </c>
      <c r="F6" s="52" t="s">
        <v>95</v>
      </c>
      <c r="G6" s="52" t="s">
        <v>96</v>
      </c>
      <c r="H6" s="52" t="s">
        <v>97</v>
      </c>
      <c r="I6" s="52" t="s">
        <v>98</v>
      </c>
      <c r="J6" s="52" t="s">
        <v>99</v>
      </c>
      <c r="K6" s="52" t="s">
        <v>100</v>
      </c>
      <c r="L6" s="52" t="s">
        <v>101</v>
      </c>
      <c r="M6" s="52" t="s">
        <v>102</v>
      </c>
    </row>
    <row r="7" spans="1:15" ht="30" customHeight="1">
      <c r="A7" s="54">
        <v>1</v>
      </c>
      <c r="B7" s="55" t="s">
        <v>195</v>
      </c>
      <c r="C7" s="62" t="s">
        <v>196</v>
      </c>
      <c r="D7" s="60">
        <f>D8+D10+D11+D12+D13</f>
        <v>178.41666666666669</v>
      </c>
      <c r="E7" s="60">
        <f>E8+E10+E11+E12+E13</f>
        <v>54.773333333333305</v>
      </c>
      <c r="F7" s="60">
        <f aca="true" t="shared" si="0" ref="F7:M7">F8+F10+F11+F12+F13</f>
        <v>50.406666666666666</v>
      </c>
      <c r="G7" s="60">
        <f t="shared" si="0"/>
        <v>2.756666666666667</v>
      </c>
      <c r="H7" s="60">
        <f t="shared" si="0"/>
        <v>6.356666666666667</v>
      </c>
      <c r="I7" s="60">
        <f t="shared" si="0"/>
        <v>8.52666666666667</v>
      </c>
      <c r="J7" s="60">
        <f t="shared" si="0"/>
        <v>28.986666666666697</v>
      </c>
      <c r="K7" s="60">
        <f t="shared" si="0"/>
        <v>8.006666666666668</v>
      </c>
      <c r="L7" s="60">
        <f t="shared" si="0"/>
        <v>17.22666666666667</v>
      </c>
      <c r="M7" s="60">
        <f t="shared" si="0"/>
        <v>1.3766666666666667</v>
      </c>
      <c r="N7" s="159"/>
      <c r="O7" s="159"/>
    </row>
    <row r="8" spans="1:15" ht="30" customHeight="1">
      <c r="A8" s="56" t="s">
        <v>105</v>
      </c>
      <c r="B8" s="57" t="s">
        <v>106</v>
      </c>
      <c r="C8" s="58" t="s">
        <v>197</v>
      </c>
      <c r="D8" s="59">
        <v>3.74</v>
      </c>
      <c r="E8" s="59">
        <f>0.66+2.3</f>
        <v>2.96</v>
      </c>
      <c r="F8" s="59">
        <v>0.1</v>
      </c>
      <c r="G8" s="59">
        <v>0.18</v>
      </c>
      <c r="H8" s="59">
        <f>D8-E8-F8-G8-I8-J8-L8</f>
        <v>0.19000000000000025</v>
      </c>
      <c r="I8" s="59">
        <v>0.1</v>
      </c>
      <c r="J8" s="59">
        <v>0.11</v>
      </c>
      <c r="K8" s="59">
        <v>0</v>
      </c>
      <c r="L8" s="59">
        <v>0.1</v>
      </c>
      <c r="M8" s="59">
        <v>0</v>
      </c>
      <c r="N8" s="159"/>
      <c r="O8" s="270"/>
    </row>
    <row r="9" spans="1:15" ht="30" customHeight="1">
      <c r="A9" s="56"/>
      <c r="B9" s="63" t="s">
        <v>108</v>
      </c>
      <c r="C9" s="64" t="s">
        <v>198</v>
      </c>
      <c r="D9" s="59">
        <v>2.2</v>
      </c>
      <c r="E9" s="65">
        <v>2.2</v>
      </c>
      <c r="F9" s="65">
        <v>0</v>
      </c>
      <c r="G9" s="65">
        <v>0</v>
      </c>
      <c r="H9" s="65">
        <v>0</v>
      </c>
      <c r="I9" s="65">
        <v>0</v>
      </c>
      <c r="J9" s="65">
        <v>0</v>
      </c>
      <c r="K9" s="65">
        <v>0</v>
      </c>
      <c r="L9" s="65">
        <v>0</v>
      </c>
      <c r="M9" s="65">
        <v>0</v>
      </c>
      <c r="O9" s="271"/>
    </row>
    <row r="10" spans="1:15" ht="30" customHeight="1">
      <c r="A10" s="56" t="s">
        <v>109</v>
      </c>
      <c r="B10" s="57" t="s">
        <v>110</v>
      </c>
      <c r="C10" s="58" t="s">
        <v>199</v>
      </c>
      <c r="D10" s="59">
        <v>93.74</v>
      </c>
      <c r="E10" s="59">
        <f>D10-SUM(F10:M10)</f>
        <v>40.25666666666663</v>
      </c>
      <c r="F10" s="59">
        <v>1.0066666666666668</v>
      </c>
      <c r="G10" s="59">
        <v>0.65</v>
      </c>
      <c r="H10" s="59">
        <v>4.326666666666667</v>
      </c>
      <c r="I10" s="59">
        <f>0.4+4.63</f>
        <v>5.03</v>
      </c>
      <c r="J10" s="59">
        <f>21.0266666666667+0.9+4</f>
        <v>25.926666666666698</v>
      </c>
      <c r="K10" s="59">
        <f>0.39+2+3.95</f>
        <v>6.34</v>
      </c>
      <c r="L10" s="59">
        <f>1+7.82666666666667</f>
        <v>8.82666666666667</v>
      </c>
      <c r="M10" s="59">
        <v>1.3766666666666667</v>
      </c>
      <c r="N10" s="159"/>
      <c r="O10" s="270"/>
    </row>
    <row r="11" spans="1:15" ht="30" customHeight="1">
      <c r="A11" s="56" t="s">
        <v>111</v>
      </c>
      <c r="B11" s="57" t="s">
        <v>112</v>
      </c>
      <c r="C11" s="58" t="s">
        <v>200</v>
      </c>
      <c r="D11" s="59">
        <f>SUM(E11:M11)</f>
        <v>30.73666666666668</v>
      </c>
      <c r="E11" s="59">
        <f>1+7.36666666666667+1.19</f>
        <v>9.55666666666667</v>
      </c>
      <c r="F11" s="59">
        <f>0.11+1.19</f>
        <v>1.3</v>
      </c>
      <c r="G11" s="59">
        <f>0.736666666666667+1.19</f>
        <v>1.926666666666667</v>
      </c>
      <c r="H11" s="59">
        <f>0.65+1.19</f>
        <v>1.8399999999999999</v>
      </c>
      <c r="I11" s="59">
        <f>2.20666666666667+1.19</f>
        <v>3.39666666666667</v>
      </c>
      <c r="J11" s="59">
        <f>0.26+1.45-0.18+1.19+0.03</f>
        <v>2.7499999999999996</v>
      </c>
      <c r="K11" s="59">
        <f>0.476666666666667+1.19</f>
        <v>1.666666666666667</v>
      </c>
      <c r="L11" s="59">
        <f>7.11+1.19</f>
        <v>8.3</v>
      </c>
      <c r="M11" s="59">
        <v>0</v>
      </c>
      <c r="N11" s="184"/>
      <c r="O11" s="270"/>
    </row>
    <row r="12" spans="1:15" ht="30" customHeight="1">
      <c r="A12" s="56" t="s">
        <v>113</v>
      </c>
      <c r="B12" s="57" t="s">
        <v>286</v>
      </c>
      <c r="C12" s="58" t="s">
        <v>201</v>
      </c>
      <c r="D12" s="59">
        <f>SUM(E12:M12)</f>
        <v>48.2</v>
      </c>
      <c r="E12" s="59">
        <v>0</v>
      </c>
      <c r="F12" s="59">
        <v>48</v>
      </c>
      <c r="G12" s="59">
        <v>0</v>
      </c>
      <c r="H12" s="59">
        <v>0</v>
      </c>
      <c r="I12" s="59">
        <v>0</v>
      </c>
      <c r="J12" s="59">
        <v>0.2</v>
      </c>
      <c r="K12" s="59">
        <v>0</v>
      </c>
      <c r="L12" s="59">
        <v>0</v>
      </c>
      <c r="M12" s="59">
        <v>0</v>
      </c>
      <c r="N12" s="184"/>
      <c r="O12" s="270"/>
    </row>
    <row r="13" spans="1:15" ht="30" customHeight="1">
      <c r="A13" s="56" t="s">
        <v>116</v>
      </c>
      <c r="B13" s="57" t="s">
        <v>119</v>
      </c>
      <c r="C13" s="58" t="s">
        <v>244</v>
      </c>
      <c r="D13" s="59">
        <f>E13</f>
        <v>2</v>
      </c>
      <c r="E13" s="59">
        <v>2</v>
      </c>
      <c r="F13" s="59">
        <v>0</v>
      </c>
      <c r="G13" s="59">
        <v>0</v>
      </c>
      <c r="H13" s="59">
        <v>0</v>
      </c>
      <c r="I13" s="59">
        <v>0</v>
      </c>
      <c r="J13" s="59">
        <v>0</v>
      </c>
      <c r="K13" s="59">
        <v>0</v>
      </c>
      <c r="L13" s="59">
        <v>0</v>
      </c>
      <c r="M13" s="59">
        <v>0</v>
      </c>
      <c r="O13" s="270"/>
    </row>
    <row r="14" spans="1:13" ht="30" customHeight="1">
      <c r="A14" s="54">
        <v>2</v>
      </c>
      <c r="B14" s="55" t="s">
        <v>202</v>
      </c>
      <c r="C14" s="62"/>
      <c r="D14" s="60">
        <v>0</v>
      </c>
      <c r="E14" s="60">
        <v>0</v>
      </c>
      <c r="F14" s="60">
        <v>0</v>
      </c>
      <c r="G14" s="60">
        <v>0</v>
      </c>
      <c r="H14" s="60">
        <v>0</v>
      </c>
      <c r="I14" s="60">
        <v>0</v>
      </c>
      <c r="J14" s="60">
        <v>0</v>
      </c>
      <c r="K14" s="60">
        <v>0</v>
      </c>
      <c r="L14" s="60">
        <v>0</v>
      </c>
      <c r="M14" s="60">
        <v>0</v>
      </c>
    </row>
    <row r="15" spans="1:13" ht="30" customHeight="1">
      <c r="A15" s="90">
        <v>3</v>
      </c>
      <c r="B15" s="55" t="s">
        <v>203</v>
      </c>
      <c r="C15" s="61" t="s">
        <v>204</v>
      </c>
      <c r="D15" s="60">
        <v>3</v>
      </c>
      <c r="E15" s="59">
        <v>3</v>
      </c>
      <c r="F15" s="60">
        <v>0</v>
      </c>
      <c r="G15" s="60">
        <v>0</v>
      </c>
      <c r="H15" s="60">
        <v>0</v>
      </c>
      <c r="I15" s="60">
        <v>0</v>
      </c>
      <c r="J15" s="60">
        <v>0</v>
      </c>
      <c r="K15" s="60">
        <v>0</v>
      </c>
      <c r="L15" s="60">
        <v>0</v>
      </c>
      <c r="M15" s="60">
        <v>0</v>
      </c>
    </row>
    <row r="16" spans="1:13" ht="30" customHeight="1">
      <c r="A16" s="90">
        <v>4</v>
      </c>
      <c r="B16" s="55" t="s">
        <v>267</v>
      </c>
      <c r="C16" s="61" t="s">
        <v>268</v>
      </c>
      <c r="D16" s="60">
        <v>1.51</v>
      </c>
      <c r="E16" s="106"/>
      <c r="F16" s="106"/>
      <c r="G16" s="106"/>
      <c r="H16" s="106"/>
      <c r="I16" s="106"/>
      <c r="J16" s="59">
        <v>1.51</v>
      </c>
      <c r="K16" s="106"/>
      <c r="L16" s="106"/>
      <c r="M16" s="106"/>
    </row>
    <row r="17" spans="4:5" ht="15">
      <c r="D17" s="159"/>
      <c r="E17" s="159"/>
    </row>
    <row r="18" ht="15">
      <c r="D18" s="159"/>
    </row>
    <row r="19" ht="15">
      <c r="D19" s="159"/>
    </row>
  </sheetData>
  <sheetProtection/>
  <mergeCells count="8">
    <mergeCell ref="B1:M1"/>
    <mergeCell ref="K3:M3"/>
    <mergeCell ref="A4:A5"/>
    <mergeCell ref="B4:B5"/>
    <mergeCell ref="C4:C5"/>
    <mergeCell ref="D4:D5"/>
    <mergeCell ref="E4:M4"/>
    <mergeCell ref="B2:M2"/>
  </mergeCells>
  <printOptions horizontalCentered="1"/>
  <pageMargins left="0.1968503937007874" right="0.7086614173228347" top="0.7874015748031497" bottom="0.7874015748031497"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M10"/>
  <sheetViews>
    <sheetView showZeros="0" zoomScalePageLayoutView="0" workbookViewId="0" topLeftCell="A1">
      <selection activeCell="F14" sqref="F14"/>
    </sheetView>
  </sheetViews>
  <sheetFormatPr defaultColWidth="9.140625" defaultRowHeight="15"/>
  <cols>
    <col min="1" max="1" width="11.421875" style="0" customWidth="1"/>
    <col min="2" max="2" width="25.140625" style="0" customWidth="1"/>
  </cols>
  <sheetData>
    <row r="1" spans="1:13" ht="16.5" customHeight="1">
      <c r="A1" s="197" t="s">
        <v>173</v>
      </c>
      <c r="B1" s="293" t="s">
        <v>174</v>
      </c>
      <c r="C1" s="293"/>
      <c r="D1" s="293"/>
      <c r="E1" s="293"/>
      <c r="F1" s="293"/>
      <c r="G1" s="293"/>
      <c r="H1" s="293"/>
      <c r="I1" s="293"/>
      <c r="J1" s="293"/>
      <c r="K1" s="293"/>
      <c r="L1" s="293"/>
      <c r="M1" s="293"/>
    </row>
    <row r="2" spans="1:13" ht="16.5" customHeight="1">
      <c r="A2" s="197"/>
      <c r="B2" s="294"/>
      <c r="C2" s="294"/>
      <c r="D2" s="294"/>
      <c r="E2" s="294"/>
      <c r="F2" s="294"/>
      <c r="G2" s="294"/>
      <c r="H2" s="294"/>
      <c r="I2" s="294"/>
      <c r="J2" s="294"/>
      <c r="K2" s="294"/>
      <c r="L2" s="294"/>
      <c r="M2" s="294"/>
    </row>
    <row r="3" spans="11:13" ht="14.25" customHeight="1">
      <c r="K3" s="295" t="s">
        <v>81</v>
      </c>
      <c r="L3" s="295"/>
      <c r="M3" s="295"/>
    </row>
    <row r="4" spans="1:13" ht="14.25" customHeight="1">
      <c r="A4" s="286" t="s">
        <v>83</v>
      </c>
      <c r="B4" s="287" t="s">
        <v>84</v>
      </c>
      <c r="C4" s="287" t="s">
        <v>85</v>
      </c>
      <c r="D4" s="287" t="s">
        <v>86</v>
      </c>
      <c r="E4" s="287" t="s">
        <v>87</v>
      </c>
      <c r="F4" s="287"/>
      <c r="G4" s="287"/>
      <c r="H4" s="287"/>
      <c r="I4" s="287"/>
      <c r="J4" s="287"/>
      <c r="K4" s="287"/>
      <c r="L4" s="287"/>
      <c r="M4" s="287"/>
    </row>
    <row r="5" spans="1:13" ht="15">
      <c r="A5" s="286"/>
      <c r="B5" s="287"/>
      <c r="C5" s="287"/>
      <c r="D5" s="287"/>
      <c r="E5" s="23" t="s">
        <v>26</v>
      </c>
      <c r="F5" s="23" t="s">
        <v>29</v>
      </c>
      <c r="G5" s="23" t="s">
        <v>88</v>
      </c>
      <c r="H5" s="23" t="s">
        <v>30</v>
      </c>
      <c r="I5" s="23" t="s">
        <v>33</v>
      </c>
      <c r="J5" s="23" t="s">
        <v>34</v>
      </c>
      <c r="K5" s="23" t="s">
        <v>89</v>
      </c>
      <c r="L5" s="23" t="s">
        <v>32</v>
      </c>
      <c r="M5" s="23" t="s">
        <v>36</v>
      </c>
    </row>
    <row r="6" spans="1:13" ht="25.5">
      <c r="A6" s="51" t="s">
        <v>90</v>
      </c>
      <c r="B6" s="52" t="s">
        <v>91</v>
      </c>
      <c r="C6" s="52" t="s">
        <v>92</v>
      </c>
      <c r="D6" s="52" t="s">
        <v>93</v>
      </c>
      <c r="E6" s="52" t="s">
        <v>94</v>
      </c>
      <c r="F6" s="52" t="s">
        <v>95</v>
      </c>
      <c r="G6" s="52" t="s">
        <v>96</v>
      </c>
      <c r="H6" s="52" t="s">
        <v>97</v>
      </c>
      <c r="I6" s="52" t="s">
        <v>98</v>
      </c>
      <c r="J6" s="52" t="s">
        <v>99</v>
      </c>
      <c r="K6" s="52" t="s">
        <v>100</v>
      </c>
      <c r="L6" s="52" t="s">
        <v>101</v>
      </c>
      <c r="M6" s="52" t="s">
        <v>102</v>
      </c>
    </row>
    <row r="7" spans="1:13" ht="31.5" customHeight="1">
      <c r="A7" s="54">
        <v>1</v>
      </c>
      <c r="B7" s="55" t="s">
        <v>103</v>
      </c>
      <c r="C7" s="62" t="s">
        <v>104</v>
      </c>
      <c r="D7" s="60">
        <v>290</v>
      </c>
      <c r="E7" s="60">
        <v>0</v>
      </c>
      <c r="F7" s="60">
        <v>0</v>
      </c>
      <c r="G7" s="60">
        <v>0</v>
      </c>
      <c r="H7" s="60">
        <v>0</v>
      </c>
      <c r="I7" s="60">
        <v>290</v>
      </c>
      <c r="J7" s="60">
        <v>0</v>
      </c>
      <c r="K7" s="60">
        <v>0</v>
      </c>
      <c r="L7" s="60">
        <v>0</v>
      </c>
      <c r="M7" s="60">
        <v>0</v>
      </c>
    </row>
    <row r="8" spans="1:13" ht="31.5" customHeight="1">
      <c r="A8" s="56" t="s">
        <v>105</v>
      </c>
      <c r="B8" s="57" t="s">
        <v>42</v>
      </c>
      <c r="C8" s="58" t="s">
        <v>9</v>
      </c>
      <c r="D8" s="59">
        <v>290</v>
      </c>
      <c r="E8" s="65">
        <v>0</v>
      </c>
      <c r="F8" s="65">
        <v>0</v>
      </c>
      <c r="G8" s="65">
        <v>0</v>
      </c>
      <c r="H8" s="65">
        <v>0</v>
      </c>
      <c r="I8" s="65">
        <v>290</v>
      </c>
      <c r="J8" s="65">
        <v>0</v>
      </c>
      <c r="K8" s="65">
        <v>0</v>
      </c>
      <c r="L8" s="65">
        <v>0</v>
      </c>
      <c r="M8" s="65">
        <v>0</v>
      </c>
    </row>
    <row r="9" spans="1:13" ht="31.5" customHeight="1">
      <c r="A9" s="54">
        <v>2</v>
      </c>
      <c r="B9" s="55" t="s">
        <v>121</v>
      </c>
      <c r="C9" s="62" t="s">
        <v>122</v>
      </c>
      <c r="D9" s="60">
        <f>J9</f>
        <v>1.51</v>
      </c>
      <c r="E9" s="60">
        <v>0</v>
      </c>
      <c r="F9" s="60">
        <v>0</v>
      </c>
      <c r="G9" s="60">
        <v>0</v>
      </c>
      <c r="H9" s="60">
        <v>0</v>
      </c>
      <c r="I9" s="60">
        <v>0</v>
      </c>
      <c r="J9" s="60">
        <f>J10</f>
        <v>1.51</v>
      </c>
      <c r="K9" s="60">
        <v>0</v>
      </c>
      <c r="L9" s="60">
        <v>0</v>
      </c>
      <c r="M9" s="60">
        <v>0</v>
      </c>
    </row>
    <row r="10" spans="1:13" ht="31.5" customHeight="1">
      <c r="A10" s="56">
        <v>2.1</v>
      </c>
      <c r="B10" s="57" t="s">
        <v>269</v>
      </c>
      <c r="C10" s="106"/>
      <c r="D10" s="59">
        <f>J10</f>
        <v>1.51</v>
      </c>
      <c r="E10" s="106"/>
      <c r="F10" s="106"/>
      <c r="G10" s="106"/>
      <c r="H10" s="106"/>
      <c r="I10" s="106"/>
      <c r="J10" s="59">
        <f>1.5+0.01</f>
        <v>1.51</v>
      </c>
      <c r="K10" s="106"/>
      <c r="L10" s="106"/>
      <c r="M10" s="106"/>
    </row>
  </sheetData>
  <sheetProtection/>
  <mergeCells count="8">
    <mergeCell ref="B1:M1"/>
    <mergeCell ref="A4:A5"/>
    <mergeCell ref="B4:B5"/>
    <mergeCell ref="C4:C5"/>
    <mergeCell ref="D4:D5"/>
    <mergeCell ref="E4:M4"/>
    <mergeCell ref="K3:M3"/>
    <mergeCell ref="B2:M2"/>
  </mergeCells>
  <printOptions horizontalCentered="1"/>
  <pageMargins left="0.1968503937007874" right="0.1968503937007874" top="0.7874015748031497" bottom="0.787401574803149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22"/>
  <sheetViews>
    <sheetView showZeros="0" zoomScalePageLayoutView="0" workbookViewId="0" topLeftCell="A1">
      <selection activeCell="G13" sqref="G13"/>
    </sheetView>
  </sheetViews>
  <sheetFormatPr defaultColWidth="9.140625" defaultRowHeight="15"/>
  <cols>
    <col min="1" max="1" width="10.8515625" style="0" customWidth="1"/>
    <col min="2" max="2" width="23.8515625" style="0" customWidth="1"/>
    <col min="4" max="4" width="12.421875" style="0" customWidth="1"/>
  </cols>
  <sheetData>
    <row r="1" spans="1:13" ht="15" customHeight="1">
      <c r="A1" s="197" t="s">
        <v>175</v>
      </c>
      <c r="B1" s="293" t="s">
        <v>302</v>
      </c>
      <c r="C1" s="293"/>
      <c r="D1" s="293"/>
      <c r="E1" s="293"/>
      <c r="F1" s="293"/>
      <c r="G1" s="293"/>
      <c r="H1" s="293"/>
      <c r="I1" s="293"/>
      <c r="J1" s="293"/>
      <c r="K1" s="293"/>
      <c r="L1" s="293"/>
      <c r="M1" s="293"/>
    </row>
    <row r="2" spans="1:13" ht="15" customHeight="1">
      <c r="A2" s="197"/>
      <c r="B2" s="294"/>
      <c r="C2" s="294"/>
      <c r="D2" s="294"/>
      <c r="E2" s="294"/>
      <c r="F2" s="294"/>
      <c r="G2" s="294"/>
      <c r="H2" s="294"/>
      <c r="I2" s="294"/>
      <c r="J2" s="294"/>
      <c r="K2" s="294"/>
      <c r="L2" s="294"/>
      <c r="M2" s="294"/>
    </row>
    <row r="3" spans="1:13" ht="15">
      <c r="A3" s="68"/>
      <c r="B3" s="68"/>
      <c r="C3" s="68"/>
      <c r="D3" s="68"/>
      <c r="E3" s="68"/>
      <c r="F3" s="68"/>
      <c r="G3" s="68"/>
      <c r="H3" s="68"/>
      <c r="I3" s="68"/>
      <c r="J3" s="68"/>
      <c r="K3" s="291" t="s">
        <v>81</v>
      </c>
      <c r="L3" s="291"/>
      <c r="M3" s="291"/>
    </row>
    <row r="4" spans="1:13" ht="14.25" customHeight="1">
      <c r="A4" s="286" t="s">
        <v>83</v>
      </c>
      <c r="B4" s="287" t="s">
        <v>84</v>
      </c>
      <c r="C4" s="287" t="s">
        <v>85</v>
      </c>
      <c r="D4" s="287" t="s">
        <v>86</v>
      </c>
      <c r="E4" s="287" t="s">
        <v>87</v>
      </c>
      <c r="F4" s="287"/>
      <c r="G4" s="287"/>
      <c r="H4" s="287"/>
      <c r="I4" s="287"/>
      <c r="J4" s="287"/>
      <c r="K4" s="287"/>
      <c r="L4" s="287"/>
      <c r="M4" s="287"/>
    </row>
    <row r="5" spans="1:13" ht="15">
      <c r="A5" s="286"/>
      <c r="B5" s="287"/>
      <c r="C5" s="287"/>
      <c r="D5" s="287"/>
      <c r="E5" s="23" t="s">
        <v>26</v>
      </c>
      <c r="F5" s="23" t="s">
        <v>29</v>
      </c>
      <c r="G5" s="23" t="s">
        <v>88</v>
      </c>
      <c r="H5" s="23" t="s">
        <v>30</v>
      </c>
      <c r="I5" s="23" t="s">
        <v>33</v>
      </c>
      <c r="J5" s="23" t="s">
        <v>34</v>
      </c>
      <c r="K5" s="23" t="s">
        <v>89</v>
      </c>
      <c r="L5" s="23" t="s">
        <v>32</v>
      </c>
      <c r="M5" s="23" t="s">
        <v>36</v>
      </c>
    </row>
    <row r="6" spans="1:13" ht="25.5">
      <c r="A6" s="51" t="s">
        <v>90</v>
      </c>
      <c r="B6" s="52" t="s">
        <v>91</v>
      </c>
      <c r="C6" s="52" t="s">
        <v>92</v>
      </c>
      <c r="D6" s="52" t="s">
        <v>93</v>
      </c>
      <c r="E6" s="52" t="s">
        <v>94</v>
      </c>
      <c r="F6" s="52" t="s">
        <v>95</v>
      </c>
      <c r="G6" s="52" t="s">
        <v>96</v>
      </c>
      <c r="H6" s="52" t="s">
        <v>97</v>
      </c>
      <c r="I6" s="52" t="s">
        <v>98</v>
      </c>
      <c r="J6" s="52" t="s">
        <v>99</v>
      </c>
      <c r="K6" s="52" t="s">
        <v>100</v>
      </c>
      <c r="L6" s="52" t="s">
        <v>101</v>
      </c>
      <c r="M6" s="52" t="s">
        <v>102</v>
      </c>
    </row>
    <row r="7" spans="1:13" ht="30.75" customHeight="1">
      <c r="A7" s="54">
        <v>1</v>
      </c>
      <c r="B7" s="55" t="s">
        <v>103</v>
      </c>
      <c r="C7" s="62" t="s">
        <v>104</v>
      </c>
      <c r="D7" s="60">
        <f>SUM(E7:M7)</f>
        <v>97.60333333333335</v>
      </c>
      <c r="E7" s="60">
        <v>52.876666666666665</v>
      </c>
      <c r="F7" s="60">
        <v>0.3766666666666667</v>
      </c>
      <c r="G7" s="60">
        <v>0.3766666666666667</v>
      </c>
      <c r="H7" s="60">
        <f>0.376666666666667+H11</f>
        <v>0.686666666666667</v>
      </c>
      <c r="I7" s="60">
        <v>5.776666666666666</v>
      </c>
      <c r="J7" s="60">
        <f>J10+J11+J13</f>
        <v>22.2366666666667</v>
      </c>
      <c r="K7" s="60">
        <f>K10+K11</f>
        <v>2.7800000000000002</v>
      </c>
      <c r="L7" s="60">
        <v>11.616666666666667</v>
      </c>
      <c r="M7" s="60">
        <v>0.8766666666666667</v>
      </c>
    </row>
    <row r="8" spans="1:13" ht="30.75" customHeight="1">
      <c r="A8" s="56" t="s">
        <v>105</v>
      </c>
      <c r="B8" s="57" t="s">
        <v>106</v>
      </c>
      <c r="C8" s="58" t="s">
        <v>107</v>
      </c>
      <c r="D8" s="59">
        <v>2.2</v>
      </c>
      <c r="E8" s="59">
        <v>2.2</v>
      </c>
      <c r="F8" s="59">
        <v>0</v>
      </c>
      <c r="G8" s="59">
        <v>0</v>
      </c>
      <c r="H8" s="59">
        <v>0</v>
      </c>
      <c r="I8" s="59">
        <v>0</v>
      </c>
      <c r="J8" s="59">
        <v>0</v>
      </c>
      <c r="K8" s="59">
        <v>0</v>
      </c>
      <c r="L8" s="59">
        <v>0</v>
      </c>
      <c r="M8" s="59">
        <v>0</v>
      </c>
    </row>
    <row r="9" spans="1:13" ht="30.75" customHeight="1">
      <c r="A9" s="56"/>
      <c r="B9" s="63" t="s">
        <v>108</v>
      </c>
      <c r="C9" s="64" t="s">
        <v>6</v>
      </c>
      <c r="D9" s="65">
        <v>2.2</v>
      </c>
      <c r="E9" s="65">
        <v>2.2</v>
      </c>
      <c r="F9" s="65">
        <v>0</v>
      </c>
      <c r="G9" s="65">
        <v>0</v>
      </c>
      <c r="H9" s="65">
        <v>0</v>
      </c>
      <c r="I9" s="65">
        <v>0</v>
      </c>
      <c r="J9" s="65">
        <v>0</v>
      </c>
      <c r="K9" s="65">
        <v>0</v>
      </c>
      <c r="L9" s="65">
        <v>0</v>
      </c>
      <c r="M9" s="65">
        <v>0</v>
      </c>
    </row>
    <row r="10" spans="1:13" ht="30.75" customHeight="1">
      <c r="A10" s="56" t="s">
        <v>109</v>
      </c>
      <c r="B10" s="57" t="s">
        <v>110</v>
      </c>
      <c r="C10" s="58" t="s">
        <v>7</v>
      </c>
      <c r="D10" s="59">
        <f>2+72.7833333333333+0.9</f>
        <v>75.68333333333331</v>
      </c>
      <c r="E10" s="59">
        <v>41.8</v>
      </c>
      <c r="F10" s="59">
        <v>0.3766666666666667</v>
      </c>
      <c r="G10" s="59">
        <v>0</v>
      </c>
      <c r="H10" s="59">
        <v>0.3766666666666667</v>
      </c>
      <c r="I10" s="59">
        <v>3.9</v>
      </c>
      <c r="J10" s="59">
        <f>20.3766666666667+0.9</f>
        <v>21.2766666666667</v>
      </c>
      <c r="K10" s="59">
        <v>2</v>
      </c>
      <c r="L10" s="59">
        <v>5.076666666666667</v>
      </c>
      <c r="M10" s="59">
        <v>0.8766666666666667</v>
      </c>
    </row>
    <row r="11" spans="1:13" ht="30.75" customHeight="1">
      <c r="A11" s="56" t="s">
        <v>111</v>
      </c>
      <c r="B11" s="57" t="s">
        <v>112</v>
      </c>
      <c r="C11" s="58" t="s">
        <v>8</v>
      </c>
      <c r="D11" s="59">
        <f>SUM(E11:M11)</f>
        <v>17.700000000000003</v>
      </c>
      <c r="E11" s="59">
        <v>6.87666666666667</v>
      </c>
      <c r="F11" s="59">
        <v>0</v>
      </c>
      <c r="G11" s="59">
        <v>0.376666666666667</v>
      </c>
      <c r="H11" s="59">
        <v>0.31</v>
      </c>
      <c r="I11" s="59">
        <v>1.8766666666666667</v>
      </c>
      <c r="J11" s="59">
        <f>'10CH'!I31+0.31</f>
        <v>0.94</v>
      </c>
      <c r="K11" s="59">
        <v>0.78</v>
      </c>
      <c r="L11" s="59">
        <v>6.539999999999999</v>
      </c>
      <c r="M11" s="59">
        <v>0</v>
      </c>
    </row>
    <row r="12" spans="1:13" ht="30.75" customHeight="1">
      <c r="A12" s="56" t="s">
        <v>113</v>
      </c>
      <c r="B12" s="57" t="s">
        <v>119</v>
      </c>
      <c r="C12" s="58" t="s">
        <v>120</v>
      </c>
      <c r="D12" s="59">
        <v>2</v>
      </c>
      <c r="E12" s="59">
        <v>2</v>
      </c>
      <c r="F12" s="59">
        <v>0</v>
      </c>
      <c r="G12" s="59">
        <v>0</v>
      </c>
      <c r="H12" s="59">
        <v>0</v>
      </c>
      <c r="I12" s="59">
        <v>0</v>
      </c>
      <c r="J12" s="59">
        <v>0</v>
      </c>
      <c r="K12" s="59">
        <v>0</v>
      </c>
      <c r="L12" s="59">
        <v>0</v>
      </c>
      <c r="M12" s="59">
        <v>0</v>
      </c>
    </row>
    <row r="13" spans="1:13" ht="30.75" customHeight="1">
      <c r="A13" s="56" t="s">
        <v>116</v>
      </c>
      <c r="B13" s="57" t="s">
        <v>285</v>
      </c>
      <c r="C13" s="58" t="s">
        <v>9</v>
      </c>
      <c r="D13" s="59">
        <f>J13</f>
        <v>0.02</v>
      </c>
      <c r="E13" s="59"/>
      <c r="F13" s="59">
        <v>0</v>
      </c>
      <c r="G13" s="59">
        <v>0</v>
      </c>
      <c r="H13" s="59">
        <v>0</v>
      </c>
      <c r="I13" s="59">
        <v>0</v>
      </c>
      <c r="J13" s="59">
        <v>0.02</v>
      </c>
      <c r="K13" s="59">
        <v>0</v>
      </c>
      <c r="L13" s="59">
        <v>0</v>
      </c>
      <c r="M13" s="59">
        <v>0</v>
      </c>
    </row>
    <row r="14" spans="1:13" ht="30.75" customHeight="1">
      <c r="A14" s="54">
        <v>2</v>
      </c>
      <c r="B14" s="55" t="s">
        <v>121</v>
      </c>
      <c r="C14" s="62" t="s">
        <v>122</v>
      </c>
      <c r="D14" s="60">
        <f>E14+J14</f>
        <v>0.1</v>
      </c>
      <c r="E14" s="60"/>
      <c r="F14" s="60">
        <v>0</v>
      </c>
      <c r="G14" s="60">
        <v>0</v>
      </c>
      <c r="H14" s="60">
        <v>0</v>
      </c>
      <c r="I14" s="60">
        <v>0</v>
      </c>
      <c r="J14" s="60">
        <f>J15</f>
        <v>0.1</v>
      </c>
      <c r="K14" s="60">
        <v>0</v>
      </c>
      <c r="L14" s="60">
        <v>0</v>
      </c>
      <c r="M14" s="60">
        <v>0</v>
      </c>
    </row>
    <row r="15" spans="1:13" ht="30.75" customHeight="1">
      <c r="A15" s="56" t="s">
        <v>123</v>
      </c>
      <c r="B15" s="57" t="s">
        <v>52</v>
      </c>
      <c r="C15" s="58" t="s">
        <v>17</v>
      </c>
      <c r="D15" s="59">
        <f>J15</f>
        <v>0.1</v>
      </c>
      <c r="E15" s="59">
        <v>0</v>
      </c>
      <c r="F15" s="59">
        <v>0</v>
      </c>
      <c r="G15" s="59">
        <v>0</v>
      </c>
      <c r="H15" s="59">
        <v>0</v>
      </c>
      <c r="I15" s="59">
        <v>0</v>
      </c>
      <c r="J15" s="59">
        <f>'10CH'!M31</f>
        <v>0.1</v>
      </c>
      <c r="K15" s="59">
        <v>0</v>
      </c>
      <c r="L15" s="59">
        <v>0</v>
      </c>
      <c r="M15" s="59">
        <v>0</v>
      </c>
    </row>
    <row r="16" spans="1:13" ht="30.75" customHeight="1">
      <c r="A16" s="54">
        <v>3</v>
      </c>
      <c r="B16" s="55" t="s">
        <v>158</v>
      </c>
      <c r="C16" s="62" t="s">
        <v>122</v>
      </c>
      <c r="D16" s="60">
        <f>J16</f>
        <v>0.01</v>
      </c>
      <c r="E16" s="60"/>
      <c r="F16" s="60"/>
      <c r="G16" s="60"/>
      <c r="H16" s="60"/>
      <c r="I16" s="60"/>
      <c r="J16" s="60">
        <f>J17</f>
        <v>0.01</v>
      </c>
      <c r="K16" s="60">
        <v>0</v>
      </c>
      <c r="L16" s="60">
        <v>0</v>
      </c>
      <c r="M16" s="60">
        <v>0</v>
      </c>
    </row>
    <row r="17" spans="1:13" ht="30.75" customHeight="1">
      <c r="A17" s="56" t="s">
        <v>331</v>
      </c>
      <c r="B17" s="57" t="s">
        <v>266</v>
      </c>
      <c r="C17" s="160" t="s">
        <v>122</v>
      </c>
      <c r="D17" s="59">
        <f>J17</f>
        <v>0.01</v>
      </c>
      <c r="E17" s="59"/>
      <c r="F17" s="59"/>
      <c r="G17" s="59"/>
      <c r="H17" s="59"/>
      <c r="I17" s="59"/>
      <c r="J17" s="59">
        <v>0.01</v>
      </c>
      <c r="K17" s="59">
        <v>0</v>
      </c>
      <c r="L17" s="59">
        <v>0</v>
      </c>
      <c r="M17" s="59">
        <v>0</v>
      </c>
    </row>
    <row r="18" ht="15">
      <c r="D18" s="159"/>
    </row>
    <row r="19" spans="4:10" ht="15">
      <c r="D19" s="159"/>
      <c r="E19" s="159"/>
      <c r="J19" s="159"/>
    </row>
    <row r="21" spans="6:10" ht="15">
      <c r="F21" s="184"/>
      <c r="J21" s="159"/>
    </row>
    <row r="22" spans="6:11" ht="15">
      <c r="F22" s="159"/>
      <c r="G22" s="184"/>
      <c r="K22" s="159"/>
    </row>
  </sheetData>
  <sheetProtection/>
  <mergeCells count="8">
    <mergeCell ref="B1:M1"/>
    <mergeCell ref="K3:M3"/>
    <mergeCell ref="A4:A5"/>
    <mergeCell ref="B4:B5"/>
    <mergeCell ref="C4:C5"/>
    <mergeCell ref="D4:D5"/>
    <mergeCell ref="E4:M4"/>
    <mergeCell ref="B2:M2"/>
  </mergeCells>
  <printOptions horizontalCentered="1"/>
  <pageMargins left="0.1968503937007874" right="0.1968503937007874"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O53"/>
  <sheetViews>
    <sheetView showZeros="0" tabSelected="1" zoomScale="55" zoomScaleNormal="55"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K42" sqref="K42"/>
    </sheetView>
  </sheetViews>
  <sheetFormatPr defaultColWidth="9.140625" defaultRowHeight="15"/>
  <cols>
    <col min="2" max="2" width="41.421875" style="0" customWidth="1"/>
    <col min="4" max="4" width="13.421875" style="0" bestFit="1" customWidth="1"/>
    <col min="5" max="10" width="13.140625" style="0" customWidth="1"/>
    <col min="11" max="11" width="13.00390625" style="0" bestFit="1" customWidth="1"/>
    <col min="12" max="12" width="7.8515625" style="0" bestFit="1" customWidth="1"/>
    <col min="13" max="13" width="8.28125" style="0" bestFit="1" customWidth="1"/>
    <col min="14" max="14" width="11.57421875" style="0" bestFit="1" customWidth="1"/>
    <col min="15" max="15" width="8.28125" style="0" bestFit="1" customWidth="1"/>
    <col min="16" max="16" width="6.7109375" style="0" bestFit="1" customWidth="1"/>
    <col min="17" max="17" width="8.28125" style="0" bestFit="1" customWidth="1"/>
    <col min="19" max="19" width="8.28125" style="0" customWidth="1"/>
    <col min="20" max="20" width="8.28125" style="0" bestFit="1" customWidth="1"/>
    <col min="21" max="21" width="9.7109375" style="0" bestFit="1" customWidth="1"/>
    <col min="22" max="22" width="6.8515625" style="0" bestFit="1" customWidth="1"/>
    <col min="24" max="24" width="6.28125" style="0" customWidth="1"/>
    <col min="25" max="25" width="7.8515625" style="0" bestFit="1" customWidth="1"/>
    <col min="26" max="26" width="6.28125" style="0" bestFit="1" customWidth="1"/>
    <col min="27" max="27" width="6.8515625" style="0" bestFit="1" customWidth="1"/>
    <col min="29" max="29" width="8.28125" style="0" bestFit="1" customWidth="1"/>
    <col min="31" max="31" width="10.00390625" style="0" bestFit="1" customWidth="1"/>
    <col min="32" max="32" width="7.8515625" style="0" customWidth="1"/>
    <col min="33" max="33" width="10.00390625" style="0" bestFit="1" customWidth="1"/>
    <col min="34" max="34" width="8.421875" style="0" customWidth="1"/>
    <col min="35" max="35" width="11.57421875" style="0" bestFit="1" customWidth="1"/>
    <col min="36" max="36" width="11.140625" style="0" bestFit="1" customWidth="1"/>
    <col min="37" max="37" width="9.57421875" style="0" bestFit="1" customWidth="1"/>
    <col min="38" max="38" width="11.140625" style="0" bestFit="1" customWidth="1"/>
    <col min="40" max="40" width="11.140625" style="0" bestFit="1" customWidth="1"/>
  </cols>
  <sheetData>
    <row r="1" spans="1:32" ht="15.75" customHeight="1">
      <c r="A1" s="297" t="s">
        <v>176</v>
      </c>
      <c r="B1" s="297"/>
      <c r="C1" s="297"/>
      <c r="D1" s="301" t="s">
        <v>303</v>
      </c>
      <c r="E1" s="301"/>
      <c r="F1" s="301"/>
      <c r="G1" s="301"/>
      <c r="H1" s="301"/>
      <c r="I1" s="301"/>
      <c r="J1" s="301"/>
      <c r="K1" s="301"/>
      <c r="L1" s="301"/>
      <c r="M1" s="301"/>
      <c r="N1" s="301"/>
      <c r="O1" s="301"/>
      <c r="P1" s="301"/>
      <c r="Q1" s="301"/>
      <c r="R1" s="301"/>
      <c r="S1" s="301"/>
      <c r="T1" s="301"/>
      <c r="U1" s="301"/>
      <c r="V1" s="301"/>
      <c r="W1" s="301"/>
      <c r="X1" s="301"/>
      <c r="AF1" s="159"/>
    </row>
    <row r="2" spans="1:29" ht="15">
      <c r="A2" s="105"/>
      <c r="B2" s="105"/>
      <c r="C2" s="105"/>
      <c r="D2" s="105"/>
      <c r="E2" s="105"/>
      <c r="F2" s="105"/>
      <c r="G2" s="105"/>
      <c r="H2" s="105"/>
      <c r="I2" s="105"/>
      <c r="J2" s="105"/>
      <c r="K2" s="105"/>
      <c r="L2" s="105"/>
      <c r="M2" s="105"/>
      <c r="N2" s="159"/>
      <c r="O2" s="159"/>
      <c r="Q2" s="159">
        <f>30-Q7</f>
        <v>0</v>
      </c>
      <c r="AC2" s="159"/>
    </row>
    <row r="3" spans="1:35" ht="21" customHeight="1">
      <c r="A3" s="298" t="s">
        <v>205</v>
      </c>
      <c r="B3" s="299" t="s">
        <v>206</v>
      </c>
      <c r="C3" s="299" t="s">
        <v>85</v>
      </c>
      <c r="D3" s="296" t="s">
        <v>248</v>
      </c>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296" t="s">
        <v>207</v>
      </c>
      <c r="AI3" s="296" t="s">
        <v>249</v>
      </c>
    </row>
    <row r="4" spans="1:35" ht="57" customHeight="1">
      <c r="A4" s="298"/>
      <c r="B4" s="299"/>
      <c r="C4" s="299"/>
      <c r="D4" s="296"/>
      <c r="E4" s="114" t="s">
        <v>104</v>
      </c>
      <c r="F4" s="114" t="s">
        <v>107</v>
      </c>
      <c r="G4" s="114" t="s">
        <v>6</v>
      </c>
      <c r="H4" s="114" t="s">
        <v>7</v>
      </c>
      <c r="I4" s="114" t="s">
        <v>8</v>
      </c>
      <c r="J4" s="114" t="s">
        <v>115</v>
      </c>
      <c r="K4" s="115" t="s">
        <v>9</v>
      </c>
      <c r="L4" s="114" t="s">
        <v>120</v>
      </c>
      <c r="M4" s="114" t="s">
        <v>10</v>
      </c>
      <c r="N4" s="114" t="s">
        <v>122</v>
      </c>
      <c r="O4" s="116" t="s">
        <v>125</v>
      </c>
      <c r="P4" s="116" t="s">
        <v>128</v>
      </c>
      <c r="Q4" s="117" t="s">
        <v>11</v>
      </c>
      <c r="R4" s="117" t="s">
        <v>12</v>
      </c>
      <c r="S4" s="114" t="s">
        <v>135</v>
      </c>
      <c r="T4" s="117" t="s">
        <v>138</v>
      </c>
      <c r="U4" s="117" t="s">
        <v>141</v>
      </c>
      <c r="V4" s="117" t="s">
        <v>16</v>
      </c>
      <c r="W4" s="118" t="s">
        <v>17</v>
      </c>
      <c r="X4" s="118" t="s">
        <v>265</v>
      </c>
      <c r="Y4" s="117" t="s">
        <v>18</v>
      </c>
      <c r="Z4" s="117" t="s">
        <v>151</v>
      </c>
      <c r="AA4" s="117" t="s">
        <v>154</v>
      </c>
      <c r="AB4" s="117" t="s">
        <v>19</v>
      </c>
      <c r="AC4" s="117" t="s">
        <v>20</v>
      </c>
      <c r="AD4" s="117" t="s">
        <v>21</v>
      </c>
      <c r="AE4" s="117" t="s">
        <v>22</v>
      </c>
      <c r="AF4" s="117" t="s">
        <v>157</v>
      </c>
      <c r="AG4" s="115" t="s">
        <v>159</v>
      </c>
      <c r="AH4" s="296"/>
      <c r="AI4" s="296"/>
    </row>
    <row r="5" spans="1:35" ht="21" customHeight="1">
      <c r="A5" s="119">
        <v>-1</v>
      </c>
      <c r="B5" s="120">
        <v>-2</v>
      </c>
      <c r="C5" s="120">
        <v>-3</v>
      </c>
      <c r="D5" s="121">
        <v>-4</v>
      </c>
      <c r="E5" s="91">
        <v>-5</v>
      </c>
      <c r="F5" s="91">
        <v>-6</v>
      </c>
      <c r="G5" s="91">
        <v>-7</v>
      </c>
      <c r="H5" s="91">
        <v>-10</v>
      </c>
      <c r="I5" s="91">
        <v>-11</v>
      </c>
      <c r="J5" s="91">
        <v>-12</v>
      </c>
      <c r="K5" s="91">
        <v>-14</v>
      </c>
      <c r="L5" s="91">
        <v>-15</v>
      </c>
      <c r="M5" s="91">
        <v>-17</v>
      </c>
      <c r="N5" s="91">
        <v>-18</v>
      </c>
      <c r="O5" s="91">
        <v>-19</v>
      </c>
      <c r="P5" s="91">
        <v>-20</v>
      </c>
      <c r="Q5" s="91">
        <v>-23</v>
      </c>
      <c r="R5" s="91">
        <v>-24</v>
      </c>
      <c r="S5" s="91">
        <v>-25</v>
      </c>
      <c r="T5" s="91">
        <v>-26</v>
      </c>
      <c r="U5" s="91">
        <v>-27</v>
      </c>
      <c r="V5" s="91">
        <v>-30</v>
      </c>
      <c r="W5" s="91">
        <v>-31</v>
      </c>
      <c r="X5" s="91">
        <v>-32</v>
      </c>
      <c r="Y5" s="91">
        <v>-33</v>
      </c>
      <c r="Z5" s="91">
        <v>-34</v>
      </c>
      <c r="AA5" s="91">
        <v>-36</v>
      </c>
      <c r="AB5" s="91">
        <v>-37</v>
      </c>
      <c r="AC5" s="91">
        <v>-38</v>
      </c>
      <c r="AD5" s="91">
        <v>-39</v>
      </c>
      <c r="AE5" s="91">
        <v>-42</v>
      </c>
      <c r="AF5" s="91">
        <v>-43</v>
      </c>
      <c r="AG5" s="91">
        <v>-45</v>
      </c>
      <c r="AH5" s="92">
        <v>-46</v>
      </c>
      <c r="AI5" s="92">
        <v>-47</v>
      </c>
    </row>
    <row r="6" spans="1:36" ht="28.5" customHeight="1">
      <c r="A6" s="122"/>
      <c r="B6" s="123" t="s">
        <v>208</v>
      </c>
      <c r="C6" s="124"/>
      <c r="D6" s="93">
        <v>86859.48999999999</v>
      </c>
      <c r="E6" s="125"/>
      <c r="F6" s="126"/>
      <c r="G6" s="126"/>
      <c r="H6" s="126"/>
      <c r="I6" s="126"/>
      <c r="J6" s="126"/>
      <c r="K6" s="126"/>
      <c r="L6" s="126"/>
      <c r="M6" s="126"/>
      <c r="N6" s="93"/>
      <c r="O6" s="126"/>
      <c r="P6" s="126"/>
      <c r="Q6" s="126"/>
      <c r="R6" s="126"/>
      <c r="S6" s="126"/>
      <c r="T6" s="126"/>
      <c r="U6" s="126"/>
      <c r="V6" s="126"/>
      <c r="W6" s="126"/>
      <c r="X6" s="126"/>
      <c r="Y6" s="126"/>
      <c r="Z6" s="126"/>
      <c r="AA6" s="127">
        <v>0</v>
      </c>
      <c r="AB6" s="126"/>
      <c r="AC6" s="126"/>
      <c r="AD6" s="126"/>
      <c r="AE6" s="126"/>
      <c r="AF6" s="126"/>
      <c r="AG6" s="126"/>
      <c r="AH6" s="94"/>
      <c r="AI6" s="94">
        <f>AI7+AI16+AI35</f>
        <v>86859.49</v>
      </c>
      <c r="AJ6" s="252">
        <f>AI8+AI10+AI11+AI12+AI13+AI14+AI15</f>
        <v>79610.73000000001</v>
      </c>
    </row>
    <row r="7" spans="1:37" ht="28.5" customHeight="1">
      <c r="A7" s="128" t="s">
        <v>209</v>
      </c>
      <c r="B7" s="95" t="s">
        <v>103</v>
      </c>
      <c r="C7" s="96" t="s">
        <v>104</v>
      </c>
      <c r="D7" s="97">
        <v>79499.15</v>
      </c>
      <c r="E7" s="98">
        <f>D7-N7</f>
        <v>79320.73</v>
      </c>
      <c r="F7" s="99">
        <v>0</v>
      </c>
      <c r="G7" s="99">
        <v>0</v>
      </c>
      <c r="H7" s="99">
        <v>0</v>
      </c>
      <c r="I7" s="97">
        <v>2.37</v>
      </c>
      <c r="J7" s="97">
        <v>0</v>
      </c>
      <c r="K7" s="97">
        <f>K10</f>
        <v>416.4</v>
      </c>
      <c r="L7" s="97">
        <v>0</v>
      </c>
      <c r="M7" s="97"/>
      <c r="N7" s="97">
        <f>N8+N10+N11+N13+N14</f>
        <v>178.42000000000002</v>
      </c>
      <c r="O7" s="97">
        <f>O10</f>
        <v>25.5</v>
      </c>
      <c r="P7" s="97">
        <v>0</v>
      </c>
      <c r="Q7" s="97">
        <f>Q8+Q10+Q11+Q14</f>
        <v>30</v>
      </c>
      <c r="R7" s="97">
        <f>R13</f>
        <v>48</v>
      </c>
      <c r="S7" s="97">
        <f>S10</f>
        <v>2</v>
      </c>
      <c r="T7" s="97">
        <v>0</v>
      </c>
      <c r="U7" s="97">
        <f>U10+U11+U13</f>
        <v>24.4</v>
      </c>
      <c r="V7" s="97">
        <v>0</v>
      </c>
      <c r="W7" s="97">
        <f>W8+W10+W11</f>
        <v>18.150000000000002</v>
      </c>
      <c r="X7" s="97">
        <v>0</v>
      </c>
      <c r="Y7" s="97">
        <v>0</v>
      </c>
      <c r="Z7" s="97">
        <v>0</v>
      </c>
      <c r="AA7" s="97">
        <f>AA10+AA11</f>
        <v>1.53</v>
      </c>
      <c r="AB7" s="97">
        <f>AB10</f>
        <v>5.5</v>
      </c>
      <c r="AC7" s="97">
        <f>AC10+AC11</f>
        <v>23.2</v>
      </c>
      <c r="AD7" s="97">
        <f>AD11</f>
        <v>0.14</v>
      </c>
      <c r="AE7" s="97">
        <v>0</v>
      </c>
      <c r="AF7" s="97">
        <v>0</v>
      </c>
      <c r="AG7" s="97">
        <v>0</v>
      </c>
      <c r="AH7" s="100">
        <f>SUM(AH8:AH15)-AH9</f>
        <v>597.19</v>
      </c>
      <c r="AI7" s="100">
        <f aca="true" t="shared" si="0" ref="AI7:AI35">HLOOKUP(C7,$E$46:$AG$51,6,0)</f>
        <v>79610.73000000001</v>
      </c>
      <c r="AJ7" s="159"/>
      <c r="AK7" s="159"/>
    </row>
    <row r="8" spans="1:36" ht="28.5" customHeight="1">
      <c r="A8" s="228" t="s">
        <v>105</v>
      </c>
      <c r="B8" s="229" t="s">
        <v>192</v>
      </c>
      <c r="C8" s="230" t="s">
        <v>107</v>
      </c>
      <c r="D8" s="201">
        <v>6859.26</v>
      </c>
      <c r="E8" s="201">
        <v>0</v>
      </c>
      <c r="F8" s="231">
        <f>D8-N8</f>
        <v>6855.52</v>
      </c>
      <c r="G8" s="201">
        <v>0</v>
      </c>
      <c r="H8" s="201">
        <v>0</v>
      </c>
      <c r="I8" s="201">
        <v>0</v>
      </c>
      <c r="J8" s="201">
        <v>0</v>
      </c>
      <c r="K8" s="201">
        <v>0</v>
      </c>
      <c r="L8" s="201">
        <v>0</v>
      </c>
      <c r="M8" s="201">
        <v>0</v>
      </c>
      <c r="N8" s="134">
        <f aca="true" t="shared" si="1" ref="N8:N15">SUM(O8:AG8)</f>
        <v>3.74</v>
      </c>
      <c r="O8" s="201">
        <v>0</v>
      </c>
      <c r="P8" s="201">
        <v>0</v>
      </c>
      <c r="Q8" s="201">
        <v>2.2</v>
      </c>
      <c r="R8" s="201">
        <v>0</v>
      </c>
      <c r="S8" s="201">
        <v>0</v>
      </c>
      <c r="T8" s="201">
        <v>0</v>
      </c>
      <c r="U8" s="201"/>
      <c r="V8" s="201">
        <v>0</v>
      </c>
      <c r="W8" s="201">
        <v>1.54</v>
      </c>
      <c r="X8" s="201">
        <v>0</v>
      </c>
      <c r="Y8" s="201">
        <v>0</v>
      </c>
      <c r="Z8" s="201">
        <v>0</v>
      </c>
      <c r="AA8" s="201">
        <v>0</v>
      </c>
      <c r="AB8" s="201">
        <v>0</v>
      </c>
      <c r="AC8" s="201">
        <v>0</v>
      </c>
      <c r="AD8" s="201">
        <v>0</v>
      </c>
      <c r="AE8" s="201">
        <v>0</v>
      </c>
      <c r="AF8" s="201">
        <v>0</v>
      </c>
      <c r="AG8" s="232">
        <v>0</v>
      </c>
      <c r="AH8" s="233">
        <f>N8</f>
        <v>3.74</v>
      </c>
      <c r="AI8" s="233">
        <f t="shared" si="0"/>
        <v>6855.52</v>
      </c>
      <c r="AJ8" s="159">
        <f>AI8-D8</f>
        <v>-3.7399999999997817</v>
      </c>
    </row>
    <row r="9" spans="1:36" ht="28.5" customHeight="1">
      <c r="A9" s="235"/>
      <c r="B9" s="236" t="s">
        <v>210</v>
      </c>
      <c r="C9" s="132" t="s">
        <v>6</v>
      </c>
      <c r="D9" s="133">
        <v>3006.46</v>
      </c>
      <c r="E9" s="133">
        <v>0</v>
      </c>
      <c r="F9" s="133"/>
      <c r="G9" s="237">
        <f>D9-N9</f>
        <v>3004.26</v>
      </c>
      <c r="H9" s="133">
        <v>0</v>
      </c>
      <c r="I9" s="133">
        <v>0</v>
      </c>
      <c r="J9" s="133">
        <v>0</v>
      </c>
      <c r="K9" s="133">
        <v>0</v>
      </c>
      <c r="L9" s="133">
        <v>0</v>
      </c>
      <c r="M9" s="133">
        <v>0</v>
      </c>
      <c r="N9" s="134">
        <f t="shared" si="1"/>
        <v>2.2</v>
      </c>
      <c r="O9" s="133">
        <v>0</v>
      </c>
      <c r="P9" s="133">
        <v>0</v>
      </c>
      <c r="Q9" s="133">
        <v>2.2</v>
      </c>
      <c r="R9" s="133">
        <v>0</v>
      </c>
      <c r="S9" s="133">
        <v>0</v>
      </c>
      <c r="T9" s="133">
        <v>0</v>
      </c>
      <c r="U9" s="133">
        <v>0</v>
      </c>
      <c r="V9" s="133">
        <v>0</v>
      </c>
      <c r="W9" s="133">
        <v>0</v>
      </c>
      <c r="X9" s="133">
        <v>0</v>
      </c>
      <c r="Y9" s="133">
        <v>0</v>
      </c>
      <c r="Z9" s="133">
        <v>0</v>
      </c>
      <c r="AA9" s="133">
        <v>0</v>
      </c>
      <c r="AB9" s="133">
        <v>0</v>
      </c>
      <c r="AC9" s="133">
        <v>0</v>
      </c>
      <c r="AD9" s="133">
        <v>0</v>
      </c>
      <c r="AE9" s="133">
        <v>0</v>
      </c>
      <c r="AF9" s="133">
        <v>0</v>
      </c>
      <c r="AG9" s="134">
        <v>0</v>
      </c>
      <c r="AH9" s="238">
        <v>2.2</v>
      </c>
      <c r="AI9" s="238">
        <f t="shared" si="0"/>
        <v>3004.26</v>
      </c>
      <c r="AJ9" s="159">
        <f aca="true" t="shared" si="2" ref="AJ9:AJ14">AI9-D9</f>
        <v>-2.199999999999818</v>
      </c>
    </row>
    <row r="10" spans="1:41" ht="28.5" customHeight="1">
      <c r="A10" s="129" t="s">
        <v>109</v>
      </c>
      <c r="B10" s="130" t="s">
        <v>110</v>
      </c>
      <c r="C10" s="132" t="s">
        <v>7</v>
      </c>
      <c r="D10" s="133">
        <f>'02CH'!E11</f>
        <v>21110.27</v>
      </c>
      <c r="E10" s="133"/>
      <c r="F10" s="133"/>
      <c r="G10" s="133">
        <v>0</v>
      </c>
      <c r="H10" s="237">
        <v>20646.26</v>
      </c>
      <c r="I10" s="133">
        <v>2.37</v>
      </c>
      <c r="J10" s="133">
        <v>0</v>
      </c>
      <c r="K10" s="133">
        <v>416.4</v>
      </c>
      <c r="L10" s="133">
        <v>0</v>
      </c>
      <c r="M10" s="133"/>
      <c r="N10" s="134">
        <f t="shared" si="1"/>
        <v>93.74000000000001</v>
      </c>
      <c r="O10" s="133">
        <v>25.5</v>
      </c>
      <c r="P10" s="133">
        <v>0</v>
      </c>
      <c r="Q10" s="133">
        <v>23.8</v>
      </c>
      <c r="R10" s="133">
        <v>0</v>
      </c>
      <c r="S10" s="133">
        <v>2</v>
      </c>
      <c r="T10" s="133">
        <v>0</v>
      </c>
      <c r="U10" s="133">
        <f>13.87-0.18</f>
        <v>13.69</v>
      </c>
      <c r="V10" s="133">
        <v>0</v>
      </c>
      <c r="W10" s="133">
        <f>8.49+0.66</f>
        <v>9.15</v>
      </c>
      <c r="X10" s="133">
        <v>0</v>
      </c>
      <c r="Y10" s="133">
        <v>0</v>
      </c>
      <c r="Z10" s="133">
        <v>0</v>
      </c>
      <c r="AA10" s="133">
        <v>0.9</v>
      </c>
      <c r="AB10" s="133">
        <v>5.5</v>
      </c>
      <c r="AC10" s="254">
        <v>13.2</v>
      </c>
      <c r="AD10" s="133">
        <v>0</v>
      </c>
      <c r="AE10" s="133">
        <v>0</v>
      </c>
      <c r="AF10" s="133">
        <v>0</v>
      </c>
      <c r="AG10" s="134">
        <v>0</v>
      </c>
      <c r="AH10" s="238">
        <f>K10+N10+I10</f>
        <v>512.51</v>
      </c>
      <c r="AI10" s="238">
        <f t="shared" si="0"/>
        <v>20597.760000000002</v>
      </c>
      <c r="AJ10" s="159">
        <f t="shared" si="2"/>
        <v>-512.5099999999984</v>
      </c>
      <c r="AK10" s="252">
        <f>AJ10-415.53</f>
        <v>-928.0399999999984</v>
      </c>
      <c r="AL10" s="159">
        <f>D10-AH10</f>
        <v>20597.760000000002</v>
      </c>
      <c r="AM10" s="159">
        <f>AI10-AL10</f>
        <v>0</v>
      </c>
      <c r="AN10" s="255">
        <f>D10-H10</f>
        <v>464.01000000000204</v>
      </c>
      <c r="AO10" s="159">
        <f>I10+K10+N10</f>
        <v>512.51</v>
      </c>
    </row>
    <row r="11" spans="1:41" ht="28.5" customHeight="1">
      <c r="A11" s="129" t="s">
        <v>111</v>
      </c>
      <c r="B11" s="135" t="s">
        <v>112</v>
      </c>
      <c r="C11" s="132" t="s">
        <v>8</v>
      </c>
      <c r="D11" s="133">
        <f>'01CH'!D10</f>
        <v>2952.9100000000003</v>
      </c>
      <c r="E11" s="133">
        <v>0</v>
      </c>
      <c r="F11" s="133"/>
      <c r="G11" s="133"/>
      <c r="H11" s="133">
        <v>0</v>
      </c>
      <c r="I11" s="237">
        <f>D11-N11</f>
        <v>2922.1700000000005</v>
      </c>
      <c r="J11" s="133">
        <v>0</v>
      </c>
      <c r="K11" s="133">
        <v>0</v>
      </c>
      <c r="L11" s="133">
        <v>0</v>
      </c>
      <c r="M11" s="133">
        <v>0</v>
      </c>
      <c r="N11" s="134">
        <f t="shared" si="1"/>
        <v>30.740000000000002</v>
      </c>
      <c r="O11" s="133">
        <v>0</v>
      </c>
      <c r="P11" s="133">
        <v>0</v>
      </c>
      <c r="Q11" s="133">
        <v>2</v>
      </c>
      <c r="R11" s="133">
        <v>0</v>
      </c>
      <c r="S11" s="133">
        <v>0</v>
      </c>
      <c r="T11" s="133">
        <v>0</v>
      </c>
      <c r="U11" s="133">
        <v>10.51</v>
      </c>
      <c r="V11" s="133">
        <v>0</v>
      </c>
      <c r="W11" s="133">
        <v>7.460000000000002</v>
      </c>
      <c r="X11" s="133">
        <v>0</v>
      </c>
      <c r="Y11" s="133">
        <v>0</v>
      </c>
      <c r="Z11" s="133">
        <v>0</v>
      </c>
      <c r="AA11" s="133">
        <f>'10CH'!I31+0</f>
        <v>0.63</v>
      </c>
      <c r="AB11" s="133">
        <v>0</v>
      </c>
      <c r="AC11" s="254">
        <v>10</v>
      </c>
      <c r="AD11" s="133">
        <v>0.14</v>
      </c>
      <c r="AE11" s="133">
        <v>0</v>
      </c>
      <c r="AF11" s="133">
        <v>0</v>
      </c>
      <c r="AG11" s="134"/>
      <c r="AH11" s="238">
        <f>N11+0</f>
        <v>30.740000000000002</v>
      </c>
      <c r="AI11" s="238">
        <f t="shared" si="0"/>
        <v>2924.5400000000004</v>
      </c>
      <c r="AJ11" s="159">
        <f t="shared" si="2"/>
        <v>-28.36999999999989</v>
      </c>
      <c r="AK11" s="159">
        <f>AJ11-AH11</f>
        <v>-59.10999999999989</v>
      </c>
      <c r="AN11" s="159">
        <f>AI7+AI16+AI35</f>
        <v>86859.49</v>
      </c>
      <c r="AO11" s="159">
        <f>AI10-D10</f>
        <v>-512.5099999999984</v>
      </c>
    </row>
    <row r="12" spans="1:41" ht="28.5" customHeight="1">
      <c r="A12" s="129" t="s">
        <v>113</v>
      </c>
      <c r="B12" s="136" t="s">
        <v>114</v>
      </c>
      <c r="C12" s="132" t="s">
        <v>115</v>
      </c>
      <c r="D12" s="133">
        <v>5320.44</v>
      </c>
      <c r="E12" s="133"/>
      <c r="F12" s="133"/>
      <c r="G12" s="133">
        <v>0</v>
      </c>
      <c r="H12" s="133">
        <v>0</v>
      </c>
      <c r="I12" s="133">
        <v>0</v>
      </c>
      <c r="J12" s="237">
        <f>D12-N12</f>
        <v>5320.44</v>
      </c>
      <c r="K12" s="133">
        <v>0</v>
      </c>
      <c r="L12" s="133">
        <v>0</v>
      </c>
      <c r="M12" s="133">
        <v>0</v>
      </c>
      <c r="N12" s="134">
        <f t="shared" si="1"/>
        <v>0</v>
      </c>
      <c r="O12" s="133">
        <v>0</v>
      </c>
      <c r="P12" s="133">
        <v>0</v>
      </c>
      <c r="Q12" s="133"/>
      <c r="R12" s="133">
        <v>0</v>
      </c>
      <c r="S12" s="133">
        <v>0</v>
      </c>
      <c r="T12" s="133">
        <v>0</v>
      </c>
      <c r="U12" s="133">
        <v>0</v>
      </c>
      <c r="V12" s="133">
        <v>0</v>
      </c>
      <c r="W12" s="133">
        <v>0</v>
      </c>
      <c r="X12" s="133">
        <v>0</v>
      </c>
      <c r="Y12" s="133">
        <v>0</v>
      </c>
      <c r="Z12" s="133">
        <v>0</v>
      </c>
      <c r="AA12" s="133">
        <v>0</v>
      </c>
      <c r="AB12" s="133">
        <v>0</v>
      </c>
      <c r="AC12" s="133">
        <v>0</v>
      </c>
      <c r="AD12" s="133">
        <v>0</v>
      </c>
      <c r="AE12" s="133">
        <v>0</v>
      </c>
      <c r="AF12" s="133">
        <v>0</v>
      </c>
      <c r="AG12" s="134">
        <v>0</v>
      </c>
      <c r="AH12" s="238">
        <v>0</v>
      </c>
      <c r="AI12" s="238">
        <f t="shared" si="0"/>
        <v>5320.44</v>
      </c>
      <c r="AJ12" s="159">
        <f t="shared" si="2"/>
        <v>0</v>
      </c>
      <c r="AK12" s="159">
        <f>AJ12-AH12</f>
        <v>0</v>
      </c>
      <c r="AO12" s="159">
        <f>AO10+AO11</f>
        <v>1.5916157281026244E-12</v>
      </c>
    </row>
    <row r="13" spans="1:37" ht="28.5" customHeight="1">
      <c r="A13" s="129" t="s">
        <v>117</v>
      </c>
      <c r="B13" s="136" t="s">
        <v>42</v>
      </c>
      <c r="C13" s="132" t="s">
        <v>9</v>
      </c>
      <c r="D13" s="133">
        <f>'01CH'!D12</f>
        <v>43193.740000000005</v>
      </c>
      <c r="E13" s="133">
        <v>0</v>
      </c>
      <c r="F13" s="133">
        <v>0</v>
      </c>
      <c r="G13" s="133">
        <v>0</v>
      </c>
      <c r="H13" s="133">
        <v>0</v>
      </c>
      <c r="I13" s="133">
        <v>0</v>
      </c>
      <c r="J13" s="133">
        <v>0</v>
      </c>
      <c r="K13" s="237">
        <f>D13-N13</f>
        <v>43145.54000000001</v>
      </c>
      <c r="L13" s="133">
        <v>0</v>
      </c>
      <c r="M13" s="133">
        <v>0</v>
      </c>
      <c r="N13" s="134">
        <f t="shared" si="1"/>
        <v>48.2</v>
      </c>
      <c r="O13" s="133">
        <v>0</v>
      </c>
      <c r="P13" s="133">
        <v>0</v>
      </c>
      <c r="Q13" s="133">
        <v>0</v>
      </c>
      <c r="R13" s="133">
        <v>48</v>
      </c>
      <c r="S13" s="133">
        <v>0</v>
      </c>
      <c r="T13" s="133">
        <v>0</v>
      </c>
      <c r="U13" s="133">
        <v>0.2</v>
      </c>
      <c r="V13" s="133">
        <v>0</v>
      </c>
      <c r="W13" s="133">
        <v>0</v>
      </c>
      <c r="X13" s="133">
        <v>0</v>
      </c>
      <c r="Y13" s="133">
        <v>0</v>
      </c>
      <c r="Z13" s="133">
        <v>0</v>
      </c>
      <c r="AA13" s="133">
        <v>0</v>
      </c>
      <c r="AB13" s="133">
        <v>0</v>
      </c>
      <c r="AC13" s="133">
        <v>0</v>
      </c>
      <c r="AD13" s="133">
        <v>0</v>
      </c>
      <c r="AE13" s="133">
        <v>0</v>
      </c>
      <c r="AF13" s="133">
        <v>0</v>
      </c>
      <c r="AG13" s="134">
        <v>0</v>
      </c>
      <c r="AH13" s="238">
        <f>N13</f>
        <v>48.2</v>
      </c>
      <c r="AI13" s="238">
        <f t="shared" si="0"/>
        <v>43851.94000000001</v>
      </c>
      <c r="AJ13" s="159">
        <f t="shared" si="2"/>
        <v>658.2000000000044</v>
      </c>
      <c r="AK13" s="159">
        <f>AJ13-AH13</f>
        <v>610.0000000000043</v>
      </c>
    </row>
    <row r="14" spans="1:38" ht="28.5" customHeight="1">
      <c r="A14" s="129" t="s">
        <v>118</v>
      </c>
      <c r="B14" s="130" t="s">
        <v>119</v>
      </c>
      <c r="C14" s="132" t="s">
        <v>120</v>
      </c>
      <c r="D14" s="133">
        <v>17.53</v>
      </c>
      <c r="E14" s="133">
        <v>0</v>
      </c>
      <c r="F14" s="133">
        <v>0</v>
      </c>
      <c r="G14" s="133">
        <v>0</v>
      </c>
      <c r="H14" s="133">
        <v>0</v>
      </c>
      <c r="I14" s="133">
        <v>0</v>
      </c>
      <c r="J14" s="133">
        <v>0</v>
      </c>
      <c r="K14" s="133">
        <v>0</v>
      </c>
      <c r="L14" s="237">
        <f>D14-N14</f>
        <v>15.530000000000001</v>
      </c>
      <c r="M14" s="133"/>
      <c r="N14" s="134">
        <f t="shared" si="1"/>
        <v>2</v>
      </c>
      <c r="O14" s="133">
        <v>0</v>
      </c>
      <c r="P14" s="133">
        <v>0</v>
      </c>
      <c r="Q14" s="133">
        <v>2</v>
      </c>
      <c r="R14" s="133">
        <v>0</v>
      </c>
      <c r="S14" s="133">
        <v>0</v>
      </c>
      <c r="T14" s="133">
        <v>0</v>
      </c>
      <c r="U14" s="133">
        <v>0</v>
      </c>
      <c r="V14" s="133">
        <v>0</v>
      </c>
      <c r="W14" s="133"/>
      <c r="X14" s="133">
        <v>0</v>
      </c>
      <c r="Y14" s="133">
        <v>0</v>
      </c>
      <c r="Z14" s="133">
        <v>0</v>
      </c>
      <c r="AA14" s="133">
        <v>0</v>
      </c>
      <c r="AB14" s="133">
        <v>0</v>
      </c>
      <c r="AC14" s="133">
        <v>0</v>
      </c>
      <c r="AD14" s="133">
        <v>0</v>
      </c>
      <c r="AE14" s="133">
        <v>0</v>
      </c>
      <c r="AF14" s="133">
        <v>0</v>
      </c>
      <c r="AG14" s="134">
        <v>0</v>
      </c>
      <c r="AH14" s="238">
        <v>2</v>
      </c>
      <c r="AI14" s="238">
        <f t="shared" si="0"/>
        <v>15.530000000000001</v>
      </c>
      <c r="AJ14" s="159">
        <f t="shared" si="2"/>
        <v>-2</v>
      </c>
      <c r="AK14" s="159">
        <f>AJ14-AH14</f>
        <v>-4</v>
      </c>
      <c r="AL14">
        <f>6.035/7</f>
        <v>0.8621428571428572</v>
      </c>
    </row>
    <row r="15" spans="1:36" ht="28.5" customHeight="1">
      <c r="A15" s="240">
        <v>1.8</v>
      </c>
      <c r="B15" s="241" t="s">
        <v>281</v>
      </c>
      <c r="C15" s="242" t="s">
        <v>10</v>
      </c>
      <c r="D15" s="200">
        <v>45</v>
      </c>
      <c r="E15" s="200"/>
      <c r="F15" s="200"/>
      <c r="G15" s="200"/>
      <c r="H15" s="200"/>
      <c r="I15" s="200"/>
      <c r="J15" s="200"/>
      <c r="K15" s="200"/>
      <c r="L15" s="243"/>
      <c r="M15" s="243">
        <v>45</v>
      </c>
      <c r="N15" s="133">
        <f t="shared" si="1"/>
        <v>0</v>
      </c>
      <c r="O15" s="200"/>
      <c r="P15" s="200"/>
      <c r="Q15" s="200"/>
      <c r="R15" s="200"/>
      <c r="S15" s="200"/>
      <c r="T15" s="200"/>
      <c r="U15" s="200"/>
      <c r="V15" s="200"/>
      <c r="W15" s="200"/>
      <c r="X15" s="200"/>
      <c r="Y15" s="200"/>
      <c r="Z15" s="200"/>
      <c r="AA15" s="200"/>
      <c r="AB15" s="200"/>
      <c r="AC15" s="200"/>
      <c r="AD15" s="200"/>
      <c r="AE15" s="200"/>
      <c r="AF15" s="200"/>
      <c r="AG15" s="244"/>
      <c r="AH15" s="245"/>
      <c r="AI15" s="245">
        <f t="shared" si="0"/>
        <v>45</v>
      </c>
      <c r="AJ15" s="159">
        <f>AI15-D15</f>
        <v>0</v>
      </c>
    </row>
    <row r="16" spans="1:37" ht="28.5" customHeight="1">
      <c r="A16" s="128" t="s">
        <v>211</v>
      </c>
      <c r="B16" s="95" t="s">
        <v>121</v>
      </c>
      <c r="C16" s="102" t="s">
        <v>122</v>
      </c>
      <c r="D16" s="97">
        <v>3549.2500000000027</v>
      </c>
      <c r="E16" s="97">
        <v>0</v>
      </c>
      <c r="F16" s="97">
        <v>0</v>
      </c>
      <c r="G16" s="97">
        <v>0</v>
      </c>
      <c r="H16" s="97">
        <v>0</v>
      </c>
      <c r="I16" s="97">
        <v>0</v>
      </c>
      <c r="J16" s="97">
        <v>0</v>
      </c>
      <c r="K16" s="97">
        <v>0</v>
      </c>
      <c r="L16" s="97">
        <v>0</v>
      </c>
      <c r="M16" s="97"/>
      <c r="N16" s="98">
        <f>D16-AH16</f>
        <v>3512.0800000000027</v>
      </c>
      <c r="O16" s="97">
        <v>0</v>
      </c>
      <c r="P16" s="97">
        <v>0</v>
      </c>
      <c r="Q16" s="97">
        <v>0</v>
      </c>
      <c r="R16" s="97">
        <v>23</v>
      </c>
      <c r="S16" s="97">
        <v>0</v>
      </c>
      <c r="T16" s="97">
        <v>0</v>
      </c>
      <c r="U16" s="97">
        <v>0</v>
      </c>
      <c r="V16" s="97">
        <v>0</v>
      </c>
      <c r="W16" s="97">
        <v>3</v>
      </c>
      <c r="X16" s="97">
        <v>0</v>
      </c>
      <c r="Y16" s="97">
        <v>0</v>
      </c>
      <c r="Z16" s="97">
        <v>0</v>
      </c>
      <c r="AA16" s="97">
        <f>AA25</f>
        <v>0.1</v>
      </c>
      <c r="AB16" s="97">
        <v>0</v>
      </c>
      <c r="AC16" s="97">
        <f>AC33</f>
        <v>11.07</v>
      </c>
      <c r="AD16" s="97"/>
      <c r="AE16" s="97">
        <v>0</v>
      </c>
      <c r="AF16" s="97">
        <v>0</v>
      </c>
      <c r="AG16" s="97">
        <v>0</v>
      </c>
      <c r="AH16" s="100">
        <f>R16+W16+AA16+AC16+AD16</f>
        <v>37.17</v>
      </c>
      <c r="AI16" s="100">
        <f t="shared" si="0"/>
        <v>3729.1800000000003</v>
      </c>
      <c r="AJ16" s="159">
        <f aca="true" t="shared" si="3" ref="AJ16:AJ35">D16-AI16</f>
        <v>-179.92999999999756</v>
      </c>
      <c r="AK16" s="159"/>
    </row>
    <row r="17" spans="1:36" ht="28.5" customHeight="1">
      <c r="A17" s="228" t="s">
        <v>123</v>
      </c>
      <c r="B17" s="229" t="s">
        <v>124</v>
      </c>
      <c r="C17" s="230" t="s">
        <v>125</v>
      </c>
      <c r="D17" s="201">
        <v>2.53</v>
      </c>
      <c r="E17" s="201">
        <v>0</v>
      </c>
      <c r="F17" s="201">
        <v>0</v>
      </c>
      <c r="G17" s="201">
        <v>0</v>
      </c>
      <c r="H17" s="201">
        <v>0</v>
      </c>
      <c r="I17" s="201">
        <v>0</v>
      </c>
      <c r="J17" s="201">
        <v>0</v>
      </c>
      <c r="K17" s="201">
        <v>0</v>
      </c>
      <c r="L17" s="201">
        <v>0</v>
      </c>
      <c r="M17" s="201"/>
      <c r="N17" s="232">
        <v>0</v>
      </c>
      <c r="O17" s="231">
        <v>2.53</v>
      </c>
      <c r="P17" s="201">
        <v>0</v>
      </c>
      <c r="Q17" s="201">
        <v>0</v>
      </c>
      <c r="R17" s="201">
        <v>0</v>
      </c>
      <c r="S17" s="201">
        <v>0</v>
      </c>
      <c r="T17" s="201">
        <v>0</v>
      </c>
      <c r="U17" s="201">
        <v>0</v>
      </c>
      <c r="V17" s="201">
        <v>0</v>
      </c>
      <c r="W17" s="201">
        <v>0</v>
      </c>
      <c r="X17" s="201">
        <v>0</v>
      </c>
      <c r="Y17" s="201">
        <v>0</v>
      </c>
      <c r="Z17" s="201">
        <v>0</v>
      </c>
      <c r="AA17" s="201">
        <v>0</v>
      </c>
      <c r="AB17" s="201">
        <v>0</v>
      </c>
      <c r="AC17" s="201"/>
      <c r="AD17" s="201">
        <v>0</v>
      </c>
      <c r="AE17" s="201">
        <v>0</v>
      </c>
      <c r="AF17" s="201">
        <v>0</v>
      </c>
      <c r="AG17" s="232">
        <v>0</v>
      </c>
      <c r="AH17" s="234">
        <v>0</v>
      </c>
      <c r="AI17" s="234">
        <f t="shared" si="0"/>
        <v>28.03</v>
      </c>
      <c r="AJ17" s="159">
        <f t="shared" si="3"/>
        <v>-25.5</v>
      </c>
    </row>
    <row r="18" spans="1:36" ht="28.5" customHeight="1">
      <c r="A18" s="129" t="s">
        <v>126</v>
      </c>
      <c r="B18" s="130" t="s">
        <v>127</v>
      </c>
      <c r="C18" s="132" t="s">
        <v>128</v>
      </c>
      <c r="D18" s="133">
        <v>2.14</v>
      </c>
      <c r="E18" s="133">
        <v>0</v>
      </c>
      <c r="F18" s="133">
        <v>0</v>
      </c>
      <c r="G18" s="133">
        <v>0</v>
      </c>
      <c r="H18" s="133">
        <v>0</v>
      </c>
      <c r="I18" s="133">
        <v>0</v>
      </c>
      <c r="J18" s="133">
        <v>0</v>
      </c>
      <c r="K18" s="133">
        <v>0</v>
      </c>
      <c r="L18" s="133">
        <v>0</v>
      </c>
      <c r="M18" s="133"/>
      <c r="N18" s="134">
        <v>0</v>
      </c>
      <c r="O18" s="133">
        <v>0</v>
      </c>
      <c r="P18" s="237">
        <v>2.14</v>
      </c>
      <c r="Q18" s="133">
        <v>0</v>
      </c>
      <c r="R18" s="133">
        <v>0</v>
      </c>
      <c r="S18" s="133">
        <v>0</v>
      </c>
      <c r="T18" s="202">
        <v>0</v>
      </c>
      <c r="U18" s="203"/>
      <c r="V18" s="133">
        <v>0</v>
      </c>
      <c r="W18" s="133">
        <v>0</v>
      </c>
      <c r="X18" s="133">
        <v>0</v>
      </c>
      <c r="Y18" s="133">
        <v>0</v>
      </c>
      <c r="Z18" s="133">
        <v>0</v>
      </c>
      <c r="AA18" s="133">
        <v>0</v>
      </c>
      <c r="AB18" s="133">
        <v>0</v>
      </c>
      <c r="AC18" s="133">
        <v>0</v>
      </c>
      <c r="AD18" s="133">
        <v>0</v>
      </c>
      <c r="AE18" s="133">
        <v>0</v>
      </c>
      <c r="AF18" s="133">
        <v>0</v>
      </c>
      <c r="AG18" s="134">
        <v>0</v>
      </c>
      <c r="AH18" s="239">
        <v>0</v>
      </c>
      <c r="AI18" s="239">
        <f t="shared" si="0"/>
        <v>2.14</v>
      </c>
      <c r="AJ18" s="159">
        <f t="shared" si="3"/>
        <v>0</v>
      </c>
    </row>
    <row r="19" spans="1:36" ht="28.5" customHeight="1">
      <c r="A19" s="129" t="s">
        <v>131</v>
      </c>
      <c r="B19" s="130" t="s">
        <v>24</v>
      </c>
      <c r="C19" s="132" t="s">
        <v>11</v>
      </c>
      <c r="D19" s="133">
        <v>0</v>
      </c>
      <c r="E19" s="133">
        <v>0</v>
      </c>
      <c r="F19" s="133">
        <v>0</v>
      </c>
      <c r="G19" s="133">
        <v>0</v>
      </c>
      <c r="H19" s="133">
        <v>0</v>
      </c>
      <c r="I19" s="133">
        <v>0</v>
      </c>
      <c r="J19" s="133">
        <v>0</v>
      </c>
      <c r="K19" s="133">
        <v>0</v>
      </c>
      <c r="L19" s="133">
        <v>0</v>
      </c>
      <c r="M19" s="133"/>
      <c r="N19" s="134">
        <v>0</v>
      </c>
      <c r="O19" s="133">
        <v>0</v>
      </c>
      <c r="P19" s="133">
        <v>0</v>
      </c>
      <c r="Q19" s="237">
        <v>0</v>
      </c>
      <c r="R19" s="133">
        <v>0</v>
      </c>
      <c r="S19" s="133">
        <v>0</v>
      </c>
      <c r="T19" s="133">
        <v>0</v>
      </c>
      <c r="U19" s="133">
        <v>0</v>
      </c>
      <c r="V19" s="133">
        <v>0</v>
      </c>
      <c r="W19" s="133">
        <v>0</v>
      </c>
      <c r="X19" s="133">
        <v>0</v>
      </c>
      <c r="Y19" s="133">
        <v>0</v>
      </c>
      <c r="Z19" s="133">
        <v>0</v>
      </c>
      <c r="AA19" s="133">
        <v>0</v>
      </c>
      <c r="AB19" s="133">
        <v>0</v>
      </c>
      <c r="AC19" s="133">
        <v>0</v>
      </c>
      <c r="AD19" s="133">
        <v>0</v>
      </c>
      <c r="AE19" s="133">
        <v>0</v>
      </c>
      <c r="AF19" s="133">
        <v>0</v>
      </c>
      <c r="AG19" s="134">
        <v>0</v>
      </c>
      <c r="AH19" s="239">
        <v>0</v>
      </c>
      <c r="AI19" s="239">
        <f t="shared" si="0"/>
        <v>30</v>
      </c>
      <c r="AJ19" s="159">
        <f t="shared" si="3"/>
        <v>-30</v>
      </c>
    </row>
    <row r="20" spans="1:36" ht="28.5" customHeight="1">
      <c r="A20" s="129" t="s">
        <v>132</v>
      </c>
      <c r="B20" s="130" t="s">
        <v>46</v>
      </c>
      <c r="C20" s="132" t="s">
        <v>12</v>
      </c>
      <c r="D20" s="133">
        <v>0</v>
      </c>
      <c r="E20" s="133">
        <v>0</v>
      </c>
      <c r="F20" s="133">
        <v>0</v>
      </c>
      <c r="G20" s="133">
        <v>0</v>
      </c>
      <c r="H20" s="133">
        <v>0</v>
      </c>
      <c r="I20" s="133">
        <v>0</v>
      </c>
      <c r="J20" s="133">
        <v>0</v>
      </c>
      <c r="K20" s="133">
        <v>0</v>
      </c>
      <c r="L20" s="133">
        <v>0</v>
      </c>
      <c r="M20" s="133"/>
      <c r="N20" s="134">
        <v>0</v>
      </c>
      <c r="O20" s="133">
        <v>0</v>
      </c>
      <c r="P20" s="133">
        <v>0</v>
      </c>
      <c r="Q20" s="133">
        <v>0</v>
      </c>
      <c r="R20" s="237">
        <v>0</v>
      </c>
      <c r="S20" s="133">
        <v>0</v>
      </c>
      <c r="T20" s="133">
        <v>0</v>
      </c>
      <c r="U20" s="133">
        <v>0</v>
      </c>
      <c r="V20" s="133">
        <v>0</v>
      </c>
      <c r="W20" s="133">
        <v>0</v>
      </c>
      <c r="X20" s="133">
        <v>0</v>
      </c>
      <c r="Y20" s="133">
        <v>0</v>
      </c>
      <c r="Z20" s="133">
        <v>0</v>
      </c>
      <c r="AA20" s="133">
        <v>0</v>
      </c>
      <c r="AB20" s="133">
        <v>0</v>
      </c>
      <c r="AC20" s="133">
        <v>0</v>
      </c>
      <c r="AD20" s="133">
        <v>0</v>
      </c>
      <c r="AE20" s="133">
        <v>0</v>
      </c>
      <c r="AF20" s="133">
        <v>0</v>
      </c>
      <c r="AG20" s="134">
        <v>0</v>
      </c>
      <c r="AH20" s="239">
        <v>0</v>
      </c>
      <c r="AI20" s="239">
        <f t="shared" si="0"/>
        <v>71</v>
      </c>
      <c r="AJ20" s="159">
        <f t="shared" si="3"/>
        <v>-71</v>
      </c>
    </row>
    <row r="21" spans="1:36" ht="28.5" customHeight="1">
      <c r="A21" s="129" t="s">
        <v>133</v>
      </c>
      <c r="B21" s="130" t="s">
        <v>134</v>
      </c>
      <c r="C21" s="132" t="s">
        <v>135</v>
      </c>
      <c r="D21" s="133">
        <v>67.22</v>
      </c>
      <c r="E21" s="133">
        <v>0</v>
      </c>
      <c r="F21" s="133">
        <v>0</v>
      </c>
      <c r="G21" s="133">
        <v>0</v>
      </c>
      <c r="H21" s="133">
        <v>0</v>
      </c>
      <c r="I21" s="133">
        <v>0</v>
      </c>
      <c r="J21" s="133">
        <v>0</v>
      </c>
      <c r="K21" s="133">
        <v>0</v>
      </c>
      <c r="L21" s="133">
        <v>0</v>
      </c>
      <c r="M21" s="133"/>
      <c r="N21" s="134">
        <v>0</v>
      </c>
      <c r="O21" s="133">
        <v>0</v>
      </c>
      <c r="P21" s="133">
        <v>0</v>
      </c>
      <c r="Q21" s="133">
        <v>0</v>
      </c>
      <c r="R21" s="133">
        <v>0</v>
      </c>
      <c r="S21" s="237">
        <v>67.22</v>
      </c>
      <c r="T21" s="133">
        <v>0</v>
      </c>
      <c r="U21" s="133">
        <v>0</v>
      </c>
      <c r="V21" s="133">
        <v>0</v>
      </c>
      <c r="W21" s="133">
        <v>0</v>
      </c>
      <c r="X21" s="133">
        <v>0</v>
      </c>
      <c r="Y21" s="133">
        <v>0</v>
      </c>
      <c r="Z21" s="133">
        <v>0</v>
      </c>
      <c r="AA21" s="133">
        <v>0</v>
      </c>
      <c r="AB21" s="133">
        <v>0</v>
      </c>
      <c r="AC21" s="133">
        <v>0</v>
      </c>
      <c r="AD21" s="133">
        <v>0</v>
      </c>
      <c r="AE21" s="133">
        <v>0</v>
      </c>
      <c r="AF21" s="133">
        <v>0</v>
      </c>
      <c r="AG21" s="134">
        <v>0</v>
      </c>
      <c r="AH21" s="239">
        <v>0</v>
      </c>
      <c r="AI21" s="239">
        <f t="shared" si="0"/>
        <v>69.22</v>
      </c>
      <c r="AJ21" s="159">
        <f t="shared" si="3"/>
        <v>-2</v>
      </c>
    </row>
    <row r="22" spans="1:36" ht="28.5" customHeight="1">
      <c r="A22" s="129" t="s">
        <v>136</v>
      </c>
      <c r="B22" s="130" t="s">
        <v>137</v>
      </c>
      <c r="C22" s="132" t="s">
        <v>138</v>
      </c>
      <c r="D22" s="133">
        <v>34.63</v>
      </c>
      <c r="E22" s="133">
        <v>0</v>
      </c>
      <c r="F22" s="133">
        <v>0</v>
      </c>
      <c r="G22" s="133">
        <v>0</v>
      </c>
      <c r="H22" s="133">
        <v>0</v>
      </c>
      <c r="I22" s="133">
        <v>0</v>
      </c>
      <c r="J22" s="133">
        <v>0</v>
      </c>
      <c r="K22" s="133">
        <v>0</v>
      </c>
      <c r="L22" s="133">
        <v>0</v>
      </c>
      <c r="M22" s="133"/>
      <c r="N22" s="134">
        <v>0</v>
      </c>
      <c r="O22" s="133">
        <v>0</v>
      </c>
      <c r="P22" s="133">
        <v>0</v>
      </c>
      <c r="Q22" s="133">
        <v>0</v>
      </c>
      <c r="R22" s="133">
        <v>0</v>
      </c>
      <c r="S22" s="133">
        <v>0</v>
      </c>
      <c r="T22" s="237">
        <v>34.63</v>
      </c>
      <c r="U22" s="133">
        <v>0</v>
      </c>
      <c r="V22" s="133">
        <v>0</v>
      </c>
      <c r="W22" s="133">
        <v>0</v>
      </c>
      <c r="X22" s="133">
        <v>0</v>
      </c>
      <c r="Y22" s="133">
        <v>0</v>
      </c>
      <c r="Z22" s="133">
        <v>0</v>
      </c>
      <c r="AA22" s="133">
        <v>0</v>
      </c>
      <c r="AB22" s="133">
        <v>0</v>
      </c>
      <c r="AC22" s="133">
        <v>0</v>
      </c>
      <c r="AD22" s="133">
        <v>0</v>
      </c>
      <c r="AE22" s="133">
        <v>0</v>
      </c>
      <c r="AF22" s="133">
        <v>0</v>
      </c>
      <c r="AG22" s="134">
        <v>0</v>
      </c>
      <c r="AH22" s="239">
        <v>0</v>
      </c>
      <c r="AI22" s="239">
        <f t="shared" si="0"/>
        <v>34.63</v>
      </c>
      <c r="AJ22" s="159">
        <f t="shared" si="3"/>
        <v>0</v>
      </c>
    </row>
    <row r="23" spans="1:36" ht="28.5" customHeight="1">
      <c r="A23" s="129" t="s">
        <v>139</v>
      </c>
      <c r="B23" s="137" t="s">
        <v>140</v>
      </c>
      <c r="C23" s="132" t="s">
        <v>141</v>
      </c>
      <c r="D23" s="133">
        <v>620.49</v>
      </c>
      <c r="E23" s="133">
        <v>0</v>
      </c>
      <c r="F23" s="133">
        <v>0</v>
      </c>
      <c r="G23" s="133">
        <v>0</v>
      </c>
      <c r="H23" s="133">
        <v>0</v>
      </c>
      <c r="I23" s="133">
        <v>0</v>
      </c>
      <c r="J23" s="133">
        <v>0</v>
      </c>
      <c r="K23" s="133">
        <v>0</v>
      </c>
      <c r="L23" s="133">
        <v>0</v>
      </c>
      <c r="M23" s="133"/>
      <c r="N23" s="134">
        <v>0</v>
      </c>
      <c r="O23" s="133">
        <v>0</v>
      </c>
      <c r="P23" s="133">
        <v>0</v>
      </c>
      <c r="Q23" s="133">
        <v>0</v>
      </c>
      <c r="R23" s="133">
        <v>0</v>
      </c>
      <c r="S23" s="133">
        <v>0</v>
      </c>
      <c r="T23" s="133">
        <v>0</v>
      </c>
      <c r="U23" s="237">
        <v>620.49</v>
      </c>
      <c r="V23" s="133">
        <v>0</v>
      </c>
      <c r="W23" s="133">
        <v>0</v>
      </c>
      <c r="X23" s="133">
        <v>0</v>
      </c>
      <c r="Y23" s="133">
        <v>0</v>
      </c>
      <c r="Z23" s="133">
        <v>0</v>
      </c>
      <c r="AA23" s="133">
        <v>0</v>
      </c>
      <c r="AB23" s="133">
        <v>0</v>
      </c>
      <c r="AC23" s="133">
        <v>0</v>
      </c>
      <c r="AD23" s="133">
        <v>0</v>
      </c>
      <c r="AE23" s="133">
        <v>0</v>
      </c>
      <c r="AF23" s="133">
        <v>0</v>
      </c>
      <c r="AG23" s="134">
        <v>0</v>
      </c>
      <c r="AH23" s="239">
        <v>0</v>
      </c>
      <c r="AI23" s="239">
        <f t="shared" si="0"/>
        <v>645.6</v>
      </c>
      <c r="AJ23" s="159">
        <f t="shared" si="3"/>
        <v>-25.110000000000014</v>
      </c>
    </row>
    <row r="24" spans="1:36" ht="28.5" customHeight="1">
      <c r="A24" s="129" t="s">
        <v>144</v>
      </c>
      <c r="B24" s="130" t="s">
        <v>37</v>
      </c>
      <c r="C24" s="138" t="s">
        <v>16</v>
      </c>
      <c r="D24" s="131">
        <v>5</v>
      </c>
      <c r="E24" s="133">
        <v>0</v>
      </c>
      <c r="F24" s="133">
        <v>0</v>
      </c>
      <c r="G24" s="133">
        <v>0</v>
      </c>
      <c r="H24" s="133">
        <v>0</v>
      </c>
      <c r="I24" s="133">
        <v>0</v>
      </c>
      <c r="J24" s="133">
        <v>0</v>
      </c>
      <c r="K24" s="133">
        <v>0</v>
      </c>
      <c r="L24" s="133">
        <v>0</v>
      </c>
      <c r="M24" s="133"/>
      <c r="N24" s="134">
        <v>0</v>
      </c>
      <c r="O24" s="133">
        <v>0</v>
      </c>
      <c r="P24" s="133">
        <v>0</v>
      </c>
      <c r="Q24" s="133">
        <v>0</v>
      </c>
      <c r="R24" s="133">
        <v>0</v>
      </c>
      <c r="S24" s="133">
        <v>0</v>
      </c>
      <c r="T24" s="133">
        <v>0</v>
      </c>
      <c r="U24" s="133">
        <v>0</v>
      </c>
      <c r="V24" s="237">
        <v>5</v>
      </c>
      <c r="W24" s="133">
        <v>0</v>
      </c>
      <c r="X24" s="133">
        <v>0</v>
      </c>
      <c r="Y24" s="133">
        <v>0</v>
      </c>
      <c r="Z24" s="133">
        <v>0</v>
      </c>
      <c r="AA24" s="133">
        <v>0</v>
      </c>
      <c r="AB24" s="133">
        <v>0</v>
      </c>
      <c r="AC24" s="133">
        <v>0</v>
      </c>
      <c r="AD24" s="133">
        <v>0</v>
      </c>
      <c r="AE24" s="133">
        <v>0</v>
      </c>
      <c r="AF24" s="133">
        <v>0</v>
      </c>
      <c r="AG24" s="134">
        <v>0</v>
      </c>
      <c r="AH24" s="239">
        <v>0</v>
      </c>
      <c r="AI24" s="239">
        <f t="shared" si="0"/>
        <v>5</v>
      </c>
      <c r="AJ24" s="159">
        <f t="shared" si="3"/>
        <v>0</v>
      </c>
    </row>
    <row r="25" spans="1:37" ht="28.5" customHeight="1">
      <c r="A25" s="129" t="s">
        <v>145</v>
      </c>
      <c r="B25" s="139" t="s">
        <v>52</v>
      </c>
      <c r="C25" s="140" t="s">
        <v>17</v>
      </c>
      <c r="D25" s="133">
        <v>909.4</v>
      </c>
      <c r="E25" s="133">
        <v>0</v>
      </c>
      <c r="F25" s="133">
        <v>0</v>
      </c>
      <c r="G25" s="133">
        <v>0</v>
      </c>
      <c r="H25" s="133">
        <v>0</v>
      </c>
      <c r="I25" s="133">
        <v>0</v>
      </c>
      <c r="J25" s="133">
        <v>0</v>
      </c>
      <c r="K25" s="133">
        <v>0</v>
      </c>
      <c r="L25" s="133">
        <v>0</v>
      </c>
      <c r="M25" s="133"/>
      <c r="N25" s="134">
        <f>AA25+AD25</f>
        <v>0.1</v>
      </c>
      <c r="O25" s="133">
        <v>0</v>
      </c>
      <c r="P25" s="133">
        <v>0</v>
      </c>
      <c r="Q25" s="133">
        <v>0</v>
      </c>
      <c r="R25" s="133">
        <v>0</v>
      </c>
      <c r="S25" s="133">
        <v>0</v>
      </c>
      <c r="T25" s="133">
        <v>0</v>
      </c>
      <c r="U25" s="133"/>
      <c r="V25" s="133">
        <v>0</v>
      </c>
      <c r="W25" s="237">
        <f>D25-AA25</f>
        <v>909.3</v>
      </c>
      <c r="X25" s="133">
        <v>0</v>
      </c>
      <c r="Y25" s="133">
        <v>0</v>
      </c>
      <c r="Z25" s="133">
        <v>0</v>
      </c>
      <c r="AA25" s="133">
        <f>'10CH'!M31</f>
        <v>0.1</v>
      </c>
      <c r="AB25" s="133">
        <v>0</v>
      </c>
      <c r="AC25" s="133">
        <v>0</v>
      </c>
      <c r="AD25" s="133"/>
      <c r="AE25" s="133">
        <v>0</v>
      </c>
      <c r="AF25" s="133">
        <v>0</v>
      </c>
      <c r="AG25" s="134"/>
      <c r="AH25" s="238">
        <f>U25+AA25+AD25</f>
        <v>0.1</v>
      </c>
      <c r="AI25" s="238">
        <f t="shared" si="0"/>
        <v>930.4499999999999</v>
      </c>
      <c r="AJ25" s="159">
        <f t="shared" si="3"/>
        <v>-21.049999999999955</v>
      </c>
      <c r="AK25" s="159"/>
    </row>
    <row r="26" spans="1:36" ht="28.5" customHeight="1">
      <c r="A26" s="129" t="s">
        <v>146</v>
      </c>
      <c r="B26" s="139" t="s">
        <v>264</v>
      </c>
      <c r="C26" s="140" t="s">
        <v>265</v>
      </c>
      <c r="D26" s="133">
        <v>0</v>
      </c>
      <c r="E26" s="133">
        <v>0</v>
      </c>
      <c r="F26" s="133">
        <v>0</v>
      </c>
      <c r="G26" s="133">
        <v>0</v>
      </c>
      <c r="H26" s="133">
        <v>0</v>
      </c>
      <c r="I26" s="133">
        <v>0</v>
      </c>
      <c r="J26" s="133">
        <v>0</v>
      </c>
      <c r="K26" s="133">
        <v>0</v>
      </c>
      <c r="L26" s="133">
        <v>0</v>
      </c>
      <c r="M26" s="133"/>
      <c r="N26" s="134">
        <v>0</v>
      </c>
      <c r="O26" s="133">
        <v>0</v>
      </c>
      <c r="P26" s="133">
        <v>0</v>
      </c>
      <c r="Q26" s="133">
        <v>0</v>
      </c>
      <c r="R26" s="133">
        <v>0</v>
      </c>
      <c r="S26" s="133">
        <v>0</v>
      </c>
      <c r="T26" s="133">
        <v>0</v>
      </c>
      <c r="U26" s="133">
        <v>0</v>
      </c>
      <c r="V26" s="133">
        <v>0</v>
      </c>
      <c r="W26" s="133"/>
      <c r="X26" s="237">
        <v>0</v>
      </c>
      <c r="Y26" s="133">
        <v>0</v>
      </c>
      <c r="Z26" s="133">
        <v>0</v>
      </c>
      <c r="AA26" s="133">
        <v>0</v>
      </c>
      <c r="AB26" s="133">
        <v>0</v>
      </c>
      <c r="AC26" s="133">
        <v>0</v>
      </c>
      <c r="AD26" s="133">
        <v>0</v>
      </c>
      <c r="AE26" s="133">
        <v>0</v>
      </c>
      <c r="AF26" s="133">
        <v>0</v>
      </c>
      <c r="AG26" s="134">
        <v>0</v>
      </c>
      <c r="AH26" s="238">
        <v>0</v>
      </c>
      <c r="AI26" s="238">
        <f t="shared" si="0"/>
        <v>0</v>
      </c>
      <c r="AJ26" s="159">
        <f t="shared" si="3"/>
        <v>0</v>
      </c>
    </row>
    <row r="27" spans="1:37" ht="28.5" customHeight="1">
      <c r="A27" s="129" t="s">
        <v>147</v>
      </c>
      <c r="B27" s="141" t="s">
        <v>148</v>
      </c>
      <c r="C27" s="138" t="s">
        <v>18</v>
      </c>
      <c r="D27" s="133">
        <f>32.41+0.5</f>
        <v>32.91</v>
      </c>
      <c r="E27" s="133">
        <v>0</v>
      </c>
      <c r="F27" s="133">
        <v>0</v>
      </c>
      <c r="G27" s="133">
        <v>0</v>
      </c>
      <c r="H27" s="133">
        <v>0</v>
      </c>
      <c r="I27" s="133">
        <v>0</v>
      </c>
      <c r="J27" s="133">
        <v>0</v>
      </c>
      <c r="K27" s="133">
        <v>0</v>
      </c>
      <c r="L27" s="133">
        <v>0</v>
      </c>
      <c r="M27" s="133"/>
      <c r="N27" s="134">
        <v>3</v>
      </c>
      <c r="O27" s="133">
        <v>0</v>
      </c>
      <c r="P27" s="133">
        <v>0</v>
      </c>
      <c r="Q27" s="133">
        <v>0</v>
      </c>
      <c r="R27" s="133">
        <v>0</v>
      </c>
      <c r="S27" s="133">
        <v>0</v>
      </c>
      <c r="T27" s="133">
        <v>0</v>
      </c>
      <c r="U27" s="133">
        <v>0</v>
      </c>
      <c r="V27" s="133">
        <v>0</v>
      </c>
      <c r="W27" s="133">
        <v>3</v>
      </c>
      <c r="X27" s="133">
        <v>0</v>
      </c>
      <c r="Y27" s="237">
        <f>D27-N27</f>
        <v>29.909999999999997</v>
      </c>
      <c r="Z27" s="133">
        <v>0</v>
      </c>
      <c r="AA27" s="133">
        <v>0</v>
      </c>
      <c r="AB27" s="133">
        <v>0</v>
      </c>
      <c r="AC27" s="133">
        <v>0</v>
      </c>
      <c r="AD27" s="133">
        <v>0</v>
      </c>
      <c r="AE27" s="133">
        <v>0</v>
      </c>
      <c r="AF27" s="133">
        <v>0</v>
      </c>
      <c r="AG27" s="134">
        <v>0</v>
      </c>
      <c r="AH27" s="238">
        <v>3</v>
      </c>
      <c r="AI27" s="238">
        <f t="shared" si="0"/>
        <v>29.909999999999997</v>
      </c>
      <c r="AJ27" s="159">
        <f t="shared" si="3"/>
        <v>3</v>
      </c>
      <c r="AK27" s="159"/>
    </row>
    <row r="28" spans="1:36" ht="28.5" customHeight="1">
      <c r="A28" s="129" t="s">
        <v>149</v>
      </c>
      <c r="B28" s="141" t="s">
        <v>150</v>
      </c>
      <c r="C28" s="138" t="s">
        <v>151</v>
      </c>
      <c r="D28" s="133">
        <v>1.91</v>
      </c>
      <c r="E28" s="133">
        <v>0</v>
      </c>
      <c r="F28" s="133">
        <v>0</v>
      </c>
      <c r="G28" s="133">
        <v>0</v>
      </c>
      <c r="H28" s="133">
        <v>0</v>
      </c>
      <c r="I28" s="133">
        <v>0</v>
      </c>
      <c r="J28" s="133">
        <v>0</v>
      </c>
      <c r="K28" s="133">
        <v>0</v>
      </c>
      <c r="L28" s="133">
        <v>0</v>
      </c>
      <c r="M28" s="133"/>
      <c r="N28" s="134">
        <v>0</v>
      </c>
      <c r="O28" s="133">
        <v>0</v>
      </c>
      <c r="P28" s="133">
        <v>0</v>
      </c>
      <c r="Q28" s="133">
        <v>0</v>
      </c>
      <c r="R28" s="133">
        <v>0</v>
      </c>
      <c r="S28" s="133">
        <v>0</v>
      </c>
      <c r="T28" s="133">
        <v>0</v>
      </c>
      <c r="U28" s="133">
        <v>0</v>
      </c>
      <c r="V28" s="133">
        <v>0</v>
      </c>
      <c r="W28" s="133">
        <v>0</v>
      </c>
      <c r="X28" s="133">
        <v>0</v>
      </c>
      <c r="Y28" s="133">
        <v>0</v>
      </c>
      <c r="Z28" s="237">
        <v>1.91</v>
      </c>
      <c r="AA28" s="133">
        <v>0</v>
      </c>
      <c r="AB28" s="133">
        <v>0</v>
      </c>
      <c r="AC28" s="133">
        <v>0</v>
      </c>
      <c r="AD28" s="133">
        <v>0</v>
      </c>
      <c r="AE28" s="133">
        <v>0</v>
      </c>
      <c r="AF28" s="133">
        <v>0</v>
      </c>
      <c r="AG28" s="134">
        <v>0</v>
      </c>
      <c r="AH28" s="238">
        <v>0</v>
      </c>
      <c r="AI28" s="238">
        <f t="shared" si="0"/>
        <v>1.91</v>
      </c>
      <c r="AJ28" s="159">
        <f t="shared" si="3"/>
        <v>0</v>
      </c>
    </row>
    <row r="29" spans="1:36" ht="28.5" customHeight="1">
      <c r="A29" s="129" t="s">
        <v>237</v>
      </c>
      <c r="B29" s="139" t="s">
        <v>153</v>
      </c>
      <c r="C29" s="138" t="s">
        <v>154</v>
      </c>
      <c r="D29" s="133">
        <v>1.46</v>
      </c>
      <c r="E29" s="133">
        <v>0</v>
      </c>
      <c r="F29" s="133">
        <v>0</v>
      </c>
      <c r="G29" s="133">
        <v>0</v>
      </c>
      <c r="H29" s="133">
        <v>0</v>
      </c>
      <c r="I29" s="133">
        <v>0</v>
      </c>
      <c r="J29" s="133">
        <v>0</v>
      </c>
      <c r="K29" s="133">
        <v>0</v>
      </c>
      <c r="L29" s="133">
        <v>0</v>
      </c>
      <c r="M29" s="133"/>
      <c r="N29" s="134">
        <v>0</v>
      </c>
      <c r="O29" s="133">
        <v>0</v>
      </c>
      <c r="P29" s="133">
        <v>0</v>
      </c>
      <c r="Q29" s="133">
        <v>0</v>
      </c>
      <c r="R29" s="133">
        <v>0</v>
      </c>
      <c r="S29" s="133">
        <v>0</v>
      </c>
      <c r="T29" s="133">
        <v>0</v>
      </c>
      <c r="U29" s="133">
        <v>0</v>
      </c>
      <c r="V29" s="133">
        <v>0</v>
      </c>
      <c r="W29" s="133">
        <v>0</v>
      </c>
      <c r="X29" s="133">
        <v>0</v>
      </c>
      <c r="Y29" s="133">
        <v>0</v>
      </c>
      <c r="Z29" s="133">
        <v>0</v>
      </c>
      <c r="AA29" s="237">
        <v>1.46</v>
      </c>
      <c r="AB29" s="133">
        <v>0</v>
      </c>
      <c r="AC29" s="133">
        <v>0</v>
      </c>
      <c r="AD29" s="133">
        <v>0</v>
      </c>
      <c r="AE29" s="133">
        <v>0</v>
      </c>
      <c r="AF29" s="133">
        <v>0</v>
      </c>
      <c r="AG29" s="134">
        <v>0</v>
      </c>
      <c r="AH29" s="238">
        <v>0</v>
      </c>
      <c r="AI29" s="238">
        <f t="shared" si="0"/>
        <v>3.09</v>
      </c>
      <c r="AJ29" s="159">
        <f t="shared" si="3"/>
        <v>-1.63</v>
      </c>
    </row>
    <row r="30" spans="1:36" ht="28.5" customHeight="1">
      <c r="A30" s="129" t="s">
        <v>238</v>
      </c>
      <c r="B30" s="139" t="s">
        <v>212</v>
      </c>
      <c r="C30" s="138" t="s">
        <v>19</v>
      </c>
      <c r="D30" s="133">
        <v>47.900000000000006</v>
      </c>
      <c r="E30" s="133">
        <v>0</v>
      </c>
      <c r="F30" s="133">
        <v>0</v>
      </c>
      <c r="G30" s="133">
        <v>0</v>
      </c>
      <c r="H30" s="133">
        <v>0</v>
      </c>
      <c r="I30" s="133">
        <v>0</v>
      </c>
      <c r="J30" s="133">
        <v>0</v>
      </c>
      <c r="K30" s="133">
        <v>0</v>
      </c>
      <c r="L30" s="133">
        <v>0</v>
      </c>
      <c r="M30" s="133"/>
      <c r="N30" s="134">
        <v>0</v>
      </c>
      <c r="O30" s="133">
        <v>0</v>
      </c>
      <c r="P30" s="133">
        <v>0</v>
      </c>
      <c r="Q30" s="133">
        <v>0</v>
      </c>
      <c r="R30" s="133">
        <v>0</v>
      </c>
      <c r="S30" s="133">
        <v>0</v>
      </c>
      <c r="T30" s="133">
        <v>0</v>
      </c>
      <c r="U30" s="133">
        <v>0</v>
      </c>
      <c r="V30" s="133">
        <v>0</v>
      </c>
      <c r="W30" s="133">
        <v>0</v>
      </c>
      <c r="X30" s="133">
        <v>0</v>
      </c>
      <c r="Y30" s="133">
        <v>0</v>
      </c>
      <c r="Z30" s="133">
        <v>0</v>
      </c>
      <c r="AA30" s="133">
        <v>0</v>
      </c>
      <c r="AB30" s="237">
        <v>47.900000000000006</v>
      </c>
      <c r="AC30" s="133">
        <v>0</v>
      </c>
      <c r="AD30" s="133">
        <v>0</v>
      </c>
      <c r="AE30" s="133">
        <v>0</v>
      </c>
      <c r="AF30" s="133">
        <v>0</v>
      </c>
      <c r="AG30" s="134">
        <v>0</v>
      </c>
      <c r="AH30" s="238">
        <v>0</v>
      </c>
      <c r="AI30" s="238">
        <f t="shared" si="0"/>
        <v>53.400000000000006</v>
      </c>
      <c r="AJ30" s="159">
        <f t="shared" si="3"/>
        <v>-5.5</v>
      </c>
    </row>
    <row r="31" spans="1:36" ht="28.5" customHeight="1">
      <c r="A31" s="129" t="s">
        <v>239</v>
      </c>
      <c r="B31" s="130" t="s">
        <v>54</v>
      </c>
      <c r="C31" s="138" t="s">
        <v>20</v>
      </c>
      <c r="D31" s="133">
        <v>13.2</v>
      </c>
      <c r="E31" s="133">
        <v>0</v>
      </c>
      <c r="F31" s="133">
        <v>0</v>
      </c>
      <c r="G31" s="133">
        <v>0</v>
      </c>
      <c r="H31" s="133">
        <v>0</v>
      </c>
      <c r="I31" s="133">
        <v>0</v>
      </c>
      <c r="J31" s="133">
        <v>0</v>
      </c>
      <c r="K31" s="133">
        <v>0</v>
      </c>
      <c r="L31" s="133">
        <v>0</v>
      </c>
      <c r="M31" s="133"/>
      <c r="N31" s="134">
        <v>0</v>
      </c>
      <c r="O31" s="133">
        <v>0</v>
      </c>
      <c r="P31" s="133">
        <v>0</v>
      </c>
      <c r="Q31" s="133">
        <v>0</v>
      </c>
      <c r="R31" s="133">
        <v>0</v>
      </c>
      <c r="S31" s="133">
        <v>0</v>
      </c>
      <c r="T31" s="133">
        <v>0</v>
      </c>
      <c r="U31" s="133">
        <v>0</v>
      </c>
      <c r="V31" s="133">
        <v>0</v>
      </c>
      <c r="W31" s="133">
        <v>0</v>
      </c>
      <c r="X31" s="133">
        <v>0</v>
      </c>
      <c r="Y31" s="133">
        <v>0</v>
      </c>
      <c r="Z31" s="133">
        <v>0</v>
      </c>
      <c r="AA31" s="133">
        <v>0</v>
      </c>
      <c r="AB31" s="133">
        <v>0</v>
      </c>
      <c r="AC31" s="237">
        <v>13.2</v>
      </c>
      <c r="AD31" s="133">
        <v>0</v>
      </c>
      <c r="AE31" s="133">
        <v>0</v>
      </c>
      <c r="AF31" s="133">
        <v>0</v>
      </c>
      <c r="AG31" s="134">
        <v>0</v>
      </c>
      <c r="AH31" s="238">
        <v>0</v>
      </c>
      <c r="AI31" s="238">
        <f t="shared" si="0"/>
        <v>47.47</v>
      </c>
      <c r="AJ31" s="159">
        <f t="shared" si="3"/>
        <v>-34.269999999999996</v>
      </c>
    </row>
    <row r="32" spans="1:36" ht="28.5" customHeight="1">
      <c r="A32" s="129" t="s">
        <v>240</v>
      </c>
      <c r="B32" s="130" t="s">
        <v>41</v>
      </c>
      <c r="C32" s="138" t="s">
        <v>21</v>
      </c>
      <c r="D32" s="133">
        <v>1.5100000000000002</v>
      </c>
      <c r="E32" s="133">
        <v>0</v>
      </c>
      <c r="F32" s="133">
        <v>0</v>
      </c>
      <c r="G32" s="133">
        <v>0</v>
      </c>
      <c r="H32" s="133">
        <v>0</v>
      </c>
      <c r="I32" s="133">
        <v>0</v>
      </c>
      <c r="J32" s="133">
        <v>0</v>
      </c>
      <c r="K32" s="133">
        <v>0</v>
      </c>
      <c r="L32" s="133">
        <v>0</v>
      </c>
      <c r="M32" s="133"/>
      <c r="N32" s="134">
        <v>0</v>
      </c>
      <c r="O32" s="133">
        <v>0</v>
      </c>
      <c r="P32" s="133">
        <v>0</v>
      </c>
      <c r="Q32" s="133">
        <v>0</v>
      </c>
      <c r="R32" s="133">
        <v>0</v>
      </c>
      <c r="S32" s="133">
        <v>0</v>
      </c>
      <c r="T32" s="133">
        <v>0</v>
      </c>
      <c r="U32" s="133">
        <v>0</v>
      </c>
      <c r="V32" s="133">
        <v>0</v>
      </c>
      <c r="W32" s="133">
        <v>0</v>
      </c>
      <c r="X32" s="133">
        <v>0</v>
      </c>
      <c r="Y32" s="133">
        <v>0</v>
      </c>
      <c r="Z32" s="133">
        <v>0</v>
      </c>
      <c r="AA32" s="133">
        <v>0</v>
      </c>
      <c r="AB32" s="133">
        <v>0</v>
      </c>
      <c r="AC32" s="133">
        <v>0</v>
      </c>
      <c r="AD32" s="237">
        <v>1.5100000000000002</v>
      </c>
      <c r="AE32" s="133">
        <v>0</v>
      </c>
      <c r="AF32" s="133">
        <v>0</v>
      </c>
      <c r="AG32" s="134">
        <v>0</v>
      </c>
      <c r="AH32" s="238">
        <v>0</v>
      </c>
      <c r="AI32" s="238">
        <f t="shared" si="0"/>
        <v>2.45</v>
      </c>
      <c r="AJ32" s="159">
        <f t="shared" si="3"/>
        <v>-0.94</v>
      </c>
    </row>
    <row r="33" spans="1:39" ht="28.5" customHeight="1">
      <c r="A33" s="129" t="s">
        <v>241</v>
      </c>
      <c r="B33" s="137" t="s">
        <v>155</v>
      </c>
      <c r="C33" s="138" t="s">
        <v>22</v>
      </c>
      <c r="D33" s="133">
        <v>1791.51</v>
      </c>
      <c r="E33" s="133">
        <v>0</v>
      </c>
      <c r="F33" s="133">
        <v>0</v>
      </c>
      <c r="G33" s="133">
        <v>0</v>
      </c>
      <c r="H33" s="133">
        <v>0</v>
      </c>
      <c r="I33" s="133">
        <v>0</v>
      </c>
      <c r="J33" s="133">
        <v>0</v>
      </c>
      <c r="K33" s="133">
        <v>0</v>
      </c>
      <c r="L33" s="133">
        <v>0</v>
      </c>
      <c r="M33" s="133"/>
      <c r="N33" s="134">
        <f>R33+AC33</f>
        <v>34.07</v>
      </c>
      <c r="O33" s="133">
        <v>0</v>
      </c>
      <c r="P33" s="133">
        <v>0</v>
      </c>
      <c r="Q33" s="133">
        <v>0</v>
      </c>
      <c r="R33" s="133">
        <v>23</v>
      </c>
      <c r="S33" s="133">
        <v>0</v>
      </c>
      <c r="T33" s="133">
        <v>0</v>
      </c>
      <c r="U33" s="133">
        <v>0</v>
      </c>
      <c r="V33" s="133">
        <v>0</v>
      </c>
      <c r="W33" s="133">
        <v>0</v>
      </c>
      <c r="X33" s="133">
        <v>0</v>
      </c>
      <c r="Y33" s="133"/>
      <c r="Z33" s="133">
        <v>0</v>
      </c>
      <c r="AA33" s="133">
        <v>0</v>
      </c>
      <c r="AB33" s="133">
        <v>0</v>
      </c>
      <c r="AC33" s="133">
        <v>11.07</v>
      </c>
      <c r="AD33" s="133">
        <v>0</v>
      </c>
      <c r="AE33" s="237">
        <v>1756.9400000000023</v>
      </c>
      <c r="AF33" s="133">
        <v>0</v>
      </c>
      <c r="AG33" s="134">
        <v>0</v>
      </c>
      <c r="AH33" s="238">
        <f>AC33+R33</f>
        <v>34.07</v>
      </c>
      <c r="AI33" s="238">
        <f t="shared" si="0"/>
        <v>1757.44</v>
      </c>
      <c r="AJ33" s="159">
        <f t="shared" si="3"/>
        <v>34.069999999999936</v>
      </c>
      <c r="AK33" s="252"/>
      <c r="AM33" s="184">
        <v>1756.94</v>
      </c>
    </row>
    <row r="34" spans="1:36" ht="28.5" customHeight="1">
      <c r="A34" s="247" t="s">
        <v>242</v>
      </c>
      <c r="B34" s="248" t="s">
        <v>156</v>
      </c>
      <c r="C34" s="249" t="s">
        <v>157</v>
      </c>
      <c r="D34" s="200">
        <v>17.44</v>
      </c>
      <c r="E34" s="200">
        <v>0</v>
      </c>
      <c r="F34" s="200">
        <v>0</v>
      </c>
      <c r="G34" s="200">
        <v>0</v>
      </c>
      <c r="H34" s="200">
        <v>0</v>
      </c>
      <c r="I34" s="200">
        <v>0</v>
      </c>
      <c r="J34" s="200">
        <v>0</v>
      </c>
      <c r="K34" s="200">
        <v>0</v>
      </c>
      <c r="L34" s="200">
        <v>0</v>
      </c>
      <c r="M34" s="200"/>
      <c r="N34" s="253"/>
      <c r="O34" s="200">
        <v>0</v>
      </c>
      <c r="P34" s="200">
        <v>0</v>
      </c>
      <c r="Q34" s="200">
        <v>0</v>
      </c>
      <c r="R34" s="200">
        <v>0</v>
      </c>
      <c r="S34" s="200">
        <v>0</v>
      </c>
      <c r="T34" s="200">
        <v>0</v>
      </c>
      <c r="U34" s="200">
        <v>0</v>
      </c>
      <c r="V34" s="200">
        <v>0</v>
      </c>
      <c r="W34" s="200">
        <v>0</v>
      </c>
      <c r="X34" s="200">
        <v>0</v>
      </c>
      <c r="Y34" s="200">
        <v>0</v>
      </c>
      <c r="Z34" s="200">
        <v>0</v>
      </c>
      <c r="AA34" s="200">
        <v>0</v>
      </c>
      <c r="AB34" s="200">
        <v>0</v>
      </c>
      <c r="AC34" s="200">
        <v>0</v>
      </c>
      <c r="AD34" s="200">
        <v>0</v>
      </c>
      <c r="AE34" s="200">
        <v>0</v>
      </c>
      <c r="AF34" s="243">
        <v>17.44</v>
      </c>
      <c r="AG34" s="244">
        <v>0</v>
      </c>
      <c r="AH34" s="246">
        <v>0</v>
      </c>
      <c r="AI34" s="246">
        <f t="shared" si="0"/>
        <v>17.44</v>
      </c>
      <c r="AJ34" s="159">
        <f t="shared" si="3"/>
        <v>0</v>
      </c>
    </row>
    <row r="35" spans="1:36" ht="28.5" customHeight="1">
      <c r="A35" s="128" t="s">
        <v>213</v>
      </c>
      <c r="B35" s="103" t="s">
        <v>214</v>
      </c>
      <c r="C35" s="17" t="s">
        <v>159</v>
      </c>
      <c r="D35" s="97">
        <v>3811.0899999999997</v>
      </c>
      <c r="E35" s="97">
        <v>290</v>
      </c>
      <c r="F35" s="97">
        <v>0</v>
      </c>
      <c r="G35" s="97">
        <v>0</v>
      </c>
      <c r="H35" s="97">
        <v>0</v>
      </c>
      <c r="I35" s="97">
        <v>0</v>
      </c>
      <c r="J35" s="97">
        <v>0</v>
      </c>
      <c r="K35" s="97">
        <v>290</v>
      </c>
      <c r="L35" s="97">
        <v>0</v>
      </c>
      <c r="M35" s="97"/>
      <c r="N35" s="97">
        <f>U35+AD35</f>
        <v>1.51</v>
      </c>
      <c r="O35" s="97">
        <v>0</v>
      </c>
      <c r="P35" s="97">
        <v>0</v>
      </c>
      <c r="Q35" s="97">
        <v>0</v>
      </c>
      <c r="R35" s="97">
        <v>0</v>
      </c>
      <c r="S35" s="97">
        <v>0</v>
      </c>
      <c r="T35" s="97">
        <v>0</v>
      </c>
      <c r="U35" s="97">
        <v>0.71</v>
      </c>
      <c r="V35" s="97">
        <v>0</v>
      </c>
      <c r="W35" s="97">
        <v>0</v>
      </c>
      <c r="X35" s="97">
        <v>0</v>
      </c>
      <c r="Y35" s="97">
        <v>0</v>
      </c>
      <c r="Z35" s="97">
        <v>0</v>
      </c>
      <c r="AA35" s="97">
        <v>0</v>
      </c>
      <c r="AB35" s="97">
        <v>0</v>
      </c>
      <c r="AC35" s="97">
        <v>0</v>
      </c>
      <c r="AD35" s="97">
        <v>0.8</v>
      </c>
      <c r="AE35" s="97">
        <v>0</v>
      </c>
      <c r="AF35" s="97">
        <v>0</v>
      </c>
      <c r="AG35" s="98">
        <f>3521.09-1.5-0.01</f>
        <v>3519.58</v>
      </c>
      <c r="AH35" s="100">
        <f>K35+U35+AD35</f>
        <v>291.51</v>
      </c>
      <c r="AI35" s="100">
        <f t="shared" si="0"/>
        <v>3519.58</v>
      </c>
      <c r="AJ35" s="159">
        <f t="shared" si="3"/>
        <v>291.50999999999976</v>
      </c>
    </row>
    <row r="36" spans="1:35" ht="28.5" customHeight="1">
      <c r="A36" s="142"/>
      <c r="B36" s="143" t="s">
        <v>215</v>
      </c>
      <c r="C36" s="144"/>
      <c r="D36" s="97"/>
      <c r="E36" s="145">
        <f>E35</f>
        <v>290</v>
      </c>
      <c r="F36" s="145">
        <v>0</v>
      </c>
      <c r="G36" s="145">
        <v>0</v>
      </c>
      <c r="H36" s="145">
        <v>0</v>
      </c>
      <c r="I36" s="145">
        <v>2.37</v>
      </c>
      <c r="J36" s="145">
        <v>0</v>
      </c>
      <c r="K36" s="145">
        <f>K35+K7</f>
        <v>706.4</v>
      </c>
      <c r="L36" s="145">
        <v>0</v>
      </c>
      <c r="M36" s="145"/>
      <c r="N36" s="97">
        <f>N35+N7</f>
        <v>179.93</v>
      </c>
      <c r="O36" s="145">
        <f>O7</f>
        <v>25.5</v>
      </c>
      <c r="P36" s="145">
        <v>0</v>
      </c>
      <c r="Q36" s="145">
        <v>30</v>
      </c>
      <c r="R36" s="145">
        <v>71</v>
      </c>
      <c r="S36" s="145">
        <f>S16+S7</f>
        <v>2</v>
      </c>
      <c r="T36" s="145">
        <v>0</v>
      </c>
      <c r="U36" s="145">
        <f>U35+U7</f>
        <v>25.11</v>
      </c>
      <c r="V36" s="145">
        <v>0</v>
      </c>
      <c r="W36" s="145">
        <f>W16+W7</f>
        <v>21.150000000000002</v>
      </c>
      <c r="X36" s="145">
        <v>0</v>
      </c>
      <c r="Y36" s="145">
        <v>0</v>
      </c>
      <c r="Z36" s="145">
        <v>0</v>
      </c>
      <c r="AA36" s="145">
        <f>AA7+AA16</f>
        <v>1.6300000000000001</v>
      </c>
      <c r="AB36" s="145">
        <v>5.5</v>
      </c>
      <c r="AC36" s="145">
        <f>AC16+AC7</f>
        <v>34.269999999999996</v>
      </c>
      <c r="AD36" s="145">
        <f>AD35+AD7</f>
        <v>0.9400000000000001</v>
      </c>
      <c r="AE36" s="145">
        <v>0</v>
      </c>
      <c r="AF36" s="145">
        <v>0</v>
      </c>
      <c r="AG36" s="145">
        <v>0</v>
      </c>
      <c r="AH36" s="101"/>
      <c r="AI36" s="101"/>
    </row>
    <row r="37" spans="1:35" ht="28.5" customHeight="1">
      <c r="A37" s="16"/>
      <c r="B37" s="104" t="s">
        <v>250</v>
      </c>
      <c r="C37" s="104"/>
      <c r="D37" s="97"/>
      <c r="E37" s="100">
        <v>79610.73</v>
      </c>
      <c r="F37" s="100">
        <v>6855.52</v>
      </c>
      <c r="G37" s="100">
        <v>3004.26</v>
      </c>
      <c r="H37" s="100">
        <v>20597.76</v>
      </c>
      <c r="I37" s="100">
        <v>2924.54</v>
      </c>
      <c r="J37" s="100">
        <v>5320.44</v>
      </c>
      <c r="K37" s="100">
        <v>43851.94</v>
      </c>
      <c r="L37" s="100">
        <v>15.53</v>
      </c>
      <c r="M37" s="100">
        <v>45</v>
      </c>
      <c r="N37" s="100">
        <v>3729.18</v>
      </c>
      <c r="O37" s="100">
        <v>28.03</v>
      </c>
      <c r="P37" s="100">
        <v>2.14</v>
      </c>
      <c r="Q37" s="100">
        <v>30</v>
      </c>
      <c r="R37" s="100">
        <v>71</v>
      </c>
      <c r="S37" s="100">
        <v>69.22</v>
      </c>
      <c r="T37" s="100">
        <v>34.63</v>
      </c>
      <c r="U37" s="100">
        <v>645.6</v>
      </c>
      <c r="V37" s="100">
        <v>5</v>
      </c>
      <c r="W37" s="100">
        <v>930.45</v>
      </c>
      <c r="X37" s="100">
        <v>0</v>
      </c>
      <c r="Y37" s="100">
        <v>29.91</v>
      </c>
      <c r="Z37" s="100">
        <v>1.91</v>
      </c>
      <c r="AA37" s="100">
        <v>3.09</v>
      </c>
      <c r="AB37" s="100">
        <v>53.4</v>
      </c>
      <c r="AC37" s="100">
        <v>47.47</v>
      </c>
      <c r="AD37" s="100">
        <v>2.45</v>
      </c>
      <c r="AE37" s="100">
        <v>1757.44</v>
      </c>
      <c r="AF37" s="100">
        <v>17.44</v>
      </c>
      <c r="AG37" s="100">
        <v>3519.58</v>
      </c>
      <c r="AH37" s="97"/>
      <c r="AI37" s="97"/>
    </row>
    <row r="38" spans="1:35" ht="28.5" customHeight="1">
      <c r="A38" s="266"/>
      <c r="B38" s="267"/>
      <c r="C38" s="267"/>
      <c r="D38" s="268"/>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8"/>
      <c r="AI38" s="268"/>
    </row>
    <row r="39" spans="1:35" ht="28.5" customHeight="1">
      <c r="A39" s="266"/>
      <c r="B39" s="267"/>
      <c r="C39" s="267"/>
      <c r="D39" s="268"/>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8"/>
      <c r="AI39" s="268"/>
    </row>
    <row r="40" spans="1:35" ht="28.5" customHeight="1">
      <c r="A40" s="266"/>
      <c r="B40" s="267"/>
      <c r="C40" s="267"/>
      <c r="D40" s="268"/>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8"/>
      <c r="AI40" s="268"/>
    </row>
    <row r="41" spans="5:30" ht="15">
      <c r="E41" s="227">
        <f>F37+H37+I37+J37+K37+L37+M37</f>
        <v>79610.73000000001</v>
      </c>
      <c r="F41" s="159"/>
      <c r="G41" s="159">
        <f>D9+G36-AH9</f>
        <v>3004.26</v>
      </c>
      <c r="K41" s="159">
        <f>K6+K12+K34</f>
        <v>0</v>
      </c>
      <c r="N41" s="227">
        <f>SUM(O37:AF37)</f>
        <v>3729.1800000000007</v>
      </c>
      <c r="O41" s="159"/>
      <c r="U41" s="256"/>
      <c r="V41" s="218"/>
      <c r="W41" s="256">
        <f>W25+W36</f>
        <v>930.4499999999999</v>
      </c>
      <c r="AC41" s="159">
        <f>AC31+AC36</f>
        <v>47.47</v>
      </c>
      <c r="AD41" s="159"/>
    </row>
    <row r="42" spans="4:30" ht="15">
      <c r="D42" s="159">
        <f>SUM(D17:D34)</f>
        <v>3549.2500000000005</v>
      </c>
      <c r="E42" s="159">
        <f>E7+E36</f>
        <v>79610.73</v>
      </c>
      <c r="F42" s="159"/>
      <c r="K42" s="159">
        <f>D13+K36-AH13</f>
        <v>43851.94000000001</v>
      </c>
      <c r="N42" s="252">
        <f>N37-N41</f>
        <v>0</v>
      </c>
      <c r="S42" s="159">
        <f>S21+S36</f>
        <v>69.22</v>
      </c>
      <c r="U42" s="256">
        <f>U37-645.6</f>
        <v>0</v>
      </c>
      <c r="V42" s="218"/>
      <c r="W42" s="256">
        <f>W41-930.45</f>
        <v>0</v>
      </c>
      <c r="AA42" s="159"/>
      <c r="AC42" s="252">
        <f>AC37-AC41</f>
        <v>0</v>
      </c>
      <c r="AD42" s="159"/>
    </row>
    <row r="43" spans="5:23" ht="15">
      <c r="E43" s="252">
        <f>E37-E41</f>
        <v>0</v>
      </c>
      <c r="N43" s="159"/>
      <c r="U43" s="159"/>
      <c r="W43" s="159"/>
    </row>
    <row r="44" spans="4:22" ht="15">
      <c r="D44" s="159"/>
      <c r="G44" s="159"/>
      <c r="I44" s="159"/>
      <c r="U44" s="159"/>
      <c r="V44" s="159"/>
    </row>
    <row r="45" spans="5:15" ht="15">
      <c r="E45" s="159"/>
      <c r="G45" s="159"/>
      <c r="I45" s="159"/>
      <c r="K45" s="159"/>
      <c r="N45" s="159">
        <f>D16+N36-AH16</f>
        <v>3692.0100000000025</v>
      </c>
      <c r="O45" s="159"/>
    </row>
    <row r="46" spans="5:33" ht="15">
      <c r="E46" s="114" t="s">
        <v>104</v>
      </c>
      <c r="F46" s="114" t="s">
        <v>107</v>
      </c>
      <c r="G46" s="114" t="s">
        <v>6</v>
      </c>
      <c r="H46" s="114" t="s">
        <v>7</v>
      </c>
      <c r="I46" s="114" t="s">
        <v>8</v>
      </c>
      <c r="J46" s="114" t="s">
        <v>115</v>
      </c>
      <c r="K46" s="115" t="s">
        <v>9</v>
      </c>
      <c r="L46" s="114" t="s">
        <v>120</v>
      </c>
      <c r="M46" s="114" t="s">
        <v>10</v>
      </c>
      <c r="N46" s="114" t="s">
        <v>122</v>
      </c>
      <c r="O46" s="116" t="s">
        <v>125</v>
      </c>
      <c r="P46" s="116" t="s">
        <v>128</v>
      </c>
      <c r="Q46" s="117" t="s">
        <v>11</v>
      </c>
      <c r="R46" s="117" t="s">
        <v>12</v>
      </c>
      <c r="S46" s="114" t="s">
        <v>135</v>
      </c>
      <c r="T46" s="117" t="s">
        <v>138</v>
      </c>
      <c r="U46" s="117" t="s">
        <v>141</v>
      </c>
      <c r="V46" s="117" t="s">
        <v>16</v>
      </c>
      <c r="W46" s="118" t="s">
        <v>17</v>
      </c>
      <c r="X46" s="118" t="s">
        <v>265</v>
      </c>
      <c r="Y46" s="117" t="s">
        <v>18</v>
      </c>
      <c r="Z46" s="117" t="s">
        <v>151</v>
      </c>
      <c r="AA46" s="117" t="s">
        <v>154</v>
      </c>
      <c r="AB46" s="117" t="s">
        <v>19</v>
      </c>
      <c r="AC46" s="117" t="s">
        <v>20</v>
      </c>
      <c r="AD46" s="117" t="s">
        <v>21</v>
      </c>
      <c r="AE46" s="117" t="s">
        <v>22</v>
      </c>
      <c r="AF46" s="117" t="s">
        <v>157</v>
      </c>
      <c r="AG46" s="115" t="s">
        <v>159</v>
      </c>
    </row>
    <row r="47" spans="3:34" ht="15">
      <c r="C47">
        <v>1</v>
      </c>
      <c r="D47">
        <v>2</v>
      </c>
      <c r="E47">
        <v>3</v>
      </c>
      <c r="F47">
        <v>4</v>
      </c>
      <c r="G47">
        <v>5</v>
      </c>
      <c r="H47">
        <v>6</v>
      </c>
      <c r="I47">
        <v>7</v>
      </c>
      <c r="J47">
        <v>8</v>
      </c>
      <c r="K47">
        <v>9</v>
      </c>
      <c r="L47">
        <v>10</v>
      </c>
      <c r="M47">
        <v>11</v>
      </c>
      <c r="N47">
        <v>12</v>
      </c>
      <c r="O47">
        <v>13</v>
      </c>
      <c r="P47">
        <v>14</v>
      </c>
      <c r="Q47">
        <v>15</v>
      </c>
      <c r="R47">
        <v>16</v>
      </c>
      <c r="S47">
        <v>17</v>
      </c>
      <c r="T47">
        <v>18</v>
      </c>
      <c r="U47">
        <v>19</v>
      </c>
      <c r="V47">
        <v>20</v>
      </c>
      <c r="W47">
        <v>21</v>
      </c>
      <c r="X47">
        <v>22</v>
      </c>
      <c r="Y47">
        <v>23</v>
      </c>
      <c r="Z47">
        <v>24</v>
      </c>
      <c r="AA47">
        <v>25</v>
      </c>
      <c r="AB47">
        <v>26</v>
      </c>
      <c r="AC47">
        <v>27</v>
      </c>
      <c r="AD47">
        <v>28</v>
      </c>
      <c r="AE47">
        <v>29</v>
      </c>
      <c r="AF47">
        <v>30</v>
      </c>
      <c r="AG47">
        <v>31</v>
      </c>
      <c r="AH47">
        <v>32</v>
      </c>
    </row>
    <row r="48" spans="2:33" ht="15">
      <c r="B48" t="s">
        <v>334</v>
      </c>
      <c r="E48">
        <f>VLOOKUP(E4,$C$7:$AH$35,32,0)</f>
        <v>597.19</v>
      </c>
      <c r="F48">
        <f aca="true" t="shared" si="4" ref="F48:AG48">VLOOKUP(F4,$C$7:$AH$35,32,0)</f>
        <v>3.74</v>
      </c>
      <c r="G48">
        <f t="shared" si="4"/>
        <v>2.2</v>
      </c>
      <c r="H48">
        <f t="shared" si="4"/>
        <v>512.51</v>
      </c>
      <c r="I48">
        <f t="shared" si="4"/>
        <v>30.740000000000002</v>
      </c>
      <c r="J48">
        <f t="shared" si="4"/>
        <v>0</v>
      </c>
      <c r="K48">
        <f t="shared" si="4"/>
        <v>48.2</v>
      </c>
      <c r="L48">
        <f t="shared" si="4"/>
        <v>2</v>
      </c>
      <c r="M48">
        <f t="shared" si="4"/>
        <v>0</v>
      </c>
      <c r="N48">
        <f t="shared" si="4"/>
        <v>37.17</v>
      </c>
      <c r="O48">
        <f t="shared" si="4"/>
        <v>0</v>
      </c>
      <c r="P48">
        <f t="shared" si="4"/>
        <v>0</v>
      </c>
      <c r="Q48">
        <f t="shared" si="4"/>
        <v>0</v>
      </c>
      <c r="R48">
        <f t="shared" si="4"/>
        <v>0</v>
      </c>
      <c r="S48">
        <f t="shared" si="4"/>
        <v>0</v>
      </c>
      <c r="T48">
        <f t="shared" si="4"/>
        <v>0</v>
      </c>
      <c r="U48">
        <f t="shared" si="4"/>
        <v>0</v>
      </c>
      <c r="V48">
        <f t="shared" si="4"/>
        <v>0</v>
      </c>
      <c r="W48">
        <f t="shared" si="4"/>
        <v>0.1</v>
      </c>
      <c r="X48">
        <f t="shared" si="4"/>
        <v>0</v>
      </c>
      <c r="Y48">
        <f t="shared" si="4"/>
        <v>3</v>
      </c>
      <c r="Z48">
        <f t="shared" si="4"/>
        <v>0</v>
      </c>
      <c r="AA48">
        <f t="shared" si="4"/>
        <v>0</v>
      </c>
      <c r="AB48">
        <f t="shared" si="4"/>
        <v>0</v>
      </c>
      <c r="AC48">
        <f t="shared" si="4"/>
        <v>0</v>
      </c>
      <c r="AD48">
        <f t="shared" si="4"/>
        <v>0</v>
      </c>
      <c r="AE48">
        <f t="shared" si="4"/>
        <v>34.07</v>
      </c>
      <c r="AF48">
        <f t="shared" si="4"/>
        <v>0</v>
      </c>
      <c r="AG48">
        <f t="shared" si="4"/>
        <v>291.51</v>
      </c>
    </row>
    <row r="49" spans="2:33" ht="15">
      <c r="B49" t="s">
        <v>335</v>
      </c>
      <c r="E49">
        <f>VLOOKUP(E4,$C$7:$D$35,2,0)</f>
        <v>79499.15</v>
      </c>
      <c r="F49">
        <f aca="true" t="shared" si="5" ref="F49:AG49">VLOOKUP(F4,$C$7:$D$35,2,0)</f>
        <v>6859.26</v>
      </c>
      <c r="G49">
        <f t="shared" si="5"/>
        <v>3006.46</v>
      </c>
      <c r="H49">
        <f t="shared" si="5"/>
        <v>21110.27</v>
      </c>
      <c r="I49">
        <f t="shared" si="5"/>
        <v>2952.9100000000003</v>
      </c>
      <c r="J49">
        <f t="shared" si="5"/>
        <v>5320.44</v>
      </c>
      <c r="K49">
        <f t="shared" si="5"/>
        <v>43193.740000000005</v>
      </c>
      <c r="L49">
        <f t="shared" si="5"/>
        <v>17.53</v>
      </c>
      <c r="M49">
        <f t="shared" si="5"/>
        <v>45</v>
      </c>
      <c r="N49">
        <f t="shared" si="5"/>
        <v>3549.2500000000027</v>
      </c>
      <c r="O49">
        <f t="shared" si="5"/>
        <v>2.53</v>
      </c>
      <c r="P49">
        <f t="shared" si="5"/>
        <v>2.14</v>
      </c>
      <c r="Q49">
        <f t="shared" si="5"/>
        <v>0</v>
      </c>
      <c r="R49">
        <f t="shared" si="5"/>
        <v>0</v>
      </c>
      <c r="S49">
        <f t="shared" si="5"/>
        <v>67.22</v>
      </c>
      <c r="T49">
        <f t="shared" si="5"/>
        <v>34.63</v>
      </c>
      <c r="U49">
        <f t="shared" si="5"/>
        <v>620.49</v>
      </c>
      <c r="V49">
        <f t="shared" si="5"/>
        <v>5</v>
      </c>
      <c r="W49">
        <f t="shared" si="5"/>
        <v>909.4</v>
      </c>
      <c r="X49">
        <f t="shared" si="5"/>
        <v>0</v>
      </c>
      <c r="Y49">
        <f t="shared" si="5"/>
        <v>32.91</v>
      </c>
      <c r="Z49">
        <f t="shared" si="5"/>
        <v>1.91</v>
      </c>
      <c r="AA49">
        <f t="shared" si="5"/>
        <v>1.46</v>
      </c>
      <c r="AB49">
        <f t="shared" si="5"/>
        <v>47.900000000000006</v>
      </c>
      <c r="AC49">
        <f t="shared" si="5"/>
        <v>13.2</v>
      </c>
      <c r="AD49">
        <f t="shared" si="5"/>
        <v>1.5100000000000002</v>
      </c>
      <c r="AE49">
        <f t="shared" si="5"/>
        <v>1791.51</v>
      </c>
      <c r="AF49">
        <f t="shared" si="5"/>
        <v>17.44</v>
      </c>
      <c r="AG49">
        <f t="shared" si="5"/>
        <v>3811.0899999999997</v>
      </c>
    </row>
    <row r="51" spans="4:33" s="112" customFormat="1" ht="15">
      <c r="D51" s="257">
        <f>SUM(E51,N51,AG51)</f>
        <v>86859.49</v>
      </c>
      <c r="E51" s="257">
        <f>SUM(H51:M51,F51)</f>
        <v>79610.73000000001</v>
      </c>
      <c r="F51" s="257">
        <f aca="true" t="shared" si="6" ref="F51:AG51">F49+F36-F48</f>
        <v>6855.52</v>
      </c>
      <c r="G51" s="257">
        <f t="shared" si="6"/>
        <v>3004.26</v>
      </c>
      <c r="H51" s="257">
        <f t="shared" si="6"/>
        <v>20597.760000000002</v>
      </c>
      <c r="I51" s="257">
        <f t="shared" si="6"/>
        <v>2924.5400000000004</v>
      </c>
      <c r="J51" s="257">
        <f t="shared" si="6"/>
        <v>5320.44</v>
      </c>
      <c r="K51" s="257">
        <f t="shared" si="6"/>
        <v>43851.94000000001</v>
      </c>
      <c r="L51" s="257">
        <f t="shared" si="6"/>
        <v>15.530000000000001</v>
      </c>
      <c r="M51" s="257">
        <f t="shared" si="6"/>
        <v>45</v>
      </c>
      <c r="N51" s="257">
        <f>SUM(O51:AF51)</f>
        <v>3729.1800000000003</v>
      </c>
      <c r="O51" s="257">
        <f t="shared" si="6"/>
        <v>28.03</v>
      </c>
      <c r="P51" s="257">
        <f t="shared" si="6"/>
        <v>2.14</v>
      </c>
      <c r="Q51" s="257">
        <f t="shared" si="6"/>
        <v>30</v>
      </c>
      <c r="R51" s="257">
        <f t="shared" si="6"/>
        <v>71</v>
      </c>
      <c r="S51" s="257">
        <f t="shared" si="6"/>
        <v>69.22</v>
      </c>
      <c r="T51" s="257">
        <f t="shared" si="6"/>
        <v>34.63</v>
      </c>
      <c r="U51" s="257">
        <f t="shared" si="6"/>
        <v>645.6</v>
      </c>
      <c r="V51" s="257">
        <f t="shared" si="6"/>
        <v>5</v>
      </c>
      <c r="W51" s="257">
        <f t="shared" si="6"/>
        <v>930.4499999999999</v>
      </c>
      <c r="X51" s="257">
        <f t="shared" si="6"/>
        <v>0</v>
      </c>
      <c r="Y51" s="257">
        <f t="shared" si="6"/>
        <v>29.909999999999997</v>
      </c>
      <c r="Z51" s="257">
        <f t="shared" si="6"/>
        <v>1.91</v>
      </c>
      <c r="AA51" s="257">
        <f t="shared" si="6"/>
        <v>3.09</v>
      </c>
      <c r="AB51" s="257">
        <f t="shared" si="6"/>
        <v>53.400000000000006</v>
      </c>
      <c r="AC51" s="257">
        <f t="shared" si="6"/>
        <v>47.47</v>
      </c>
      <c r="AD51" s="257">
        <f t="shared" si="6"/>
        <v>2.45</v>
      </c>
      <c r="AE51" s="257">
        <f t="shared" si="6"/>
        <v>1757.44</v>
      </c>
      <c r="AF51" s="257">
        <f t="shared" si="6"/>
        <v>17.44</v>
      </c>
      <c r="AG51" s="257">
        <f t="shared" si="6"/>
        <v>3519.58</v>
      </c>
    </row>
    <row r="52" ht="15">
      <c r="N52">
        <f>N51*2</f>
        <v>7458.360000000001</v>
      </c>
    </row>
    <row r="53" ht="15">
      <c r="D53" s="159">
        <f>D6-D51</f>
        <v>0</v>
      </c>
    </row>
  </sheetData>
  <sheetProtection/>
  <mergeCells count="9">
    <mergeCell ref="AH3:AH4"/>
    <mergeCell ref="AI3:AI4"/>
    <mergeCell ref="A1:C1"/>
    <mergeCell ref="A3:A4"/>
    <mergeCell ref="B3:B4"/>
    <mergeCell ref="C3:C4"/>
    <mergeCell ref="D3:D4"/>
    <mergeCell ref="E3:AG3"/>
    <mergeCell ref="D1:X1"/>
  </mergeCells>
  <printOptions horizontalCentered="1"/>
  <pageMargins left="0.196850393700787" right="0.196850393700787" top="0.78740157480315" bottom="0.78740157480315" header="0.31496062992126" footer="0.31496062992126"/>
  <pageSetup horizontalDpi="600" verticalDpi="600" orientation="landscape" paperSize="9" scale="40" r:id="rId1"/>
  <ignoredErrors>
    <ignoredError sqref="N14 N12 N9" formulaRange="1"/>
  </ignoredErrors>
</worksheet>
</file>

<file path=xl/worksheets/sheet9.xml><?xml version="1.0" encoding="utf-8"?>
<worksheet xmlns="http://schemas.openxmlformats.org/spreadsheetml/2006/main" xmlns:r="http://schemas.openxmlformats.org/officeDocument/2006/relationships">
  <dimension ref="A3:G17"/>
  <sheetViews>
    <sheetView zoomScalePageLayoutView="0" workbookViewId="0" topLeftCell="A1">
      <selection activeCell="B8" sqref="B8"/>
    </sheetView>
  </sheetViews>
  <sheetFormatPr defaultColWidth="9.140625" defaultRowHeight="15"/>
  <cols>
    <col min="1" max="1" width="7.00390625" style="0" customWidth="1"/>
    <col min="2" max="2" width="39.7109375" style="0" customWidth="1"/>
    <col min="3" max="3" width="11.7109375" style="0" customWidth="1"/>
    <col min="4" max="4" width="7.140625" style="0" customWidth="1"/>
    <col min="5" max="5" width="11.8515625" style="0" customWidth="1"/>
    <col min="6" max="6" width="15.28125" style="0" customWidth="1"/>
  </cols>
  <sheetData>
    <row r="3" spans="1:7" ht="21" customHeight="1">
      <c r="A3" s="305" t="s">
        <v>177</v>
      </c>
      <c r="B3" s="305" t="s">
        <v>178</v>
      </c>
      <c r="C3" s="306" t="s">
        <v>179</v>
      </c>
      <c r="D3" s="303" t="s">
        <v>251</v>
      </c>
      <c r="E3" s="305" t="s">
        <v>274</v>
      </c>
      <c r="F3" s="305"/>
      <c r="G3" s="302" t="s">
        <v>180</v>
      </c>
    </row>
    <row r="4" spans="1:7" ht="30.75" customHeight="1">
      <c r="A4" s="305"/>
      <c r="B4" s="305"/>
      <c r="C4" s="306"/>
      <c r="D4" s="304"/>
      <c r="E4" s="72" t="s">
        <v>181</v>
      </c>
      <c r="F4" s="73" t="s">
        <v>182</v>
      </c>
      <c r="G4" s="302"/>
    </row>
    <row r="5" spans="1:7" ht="21" customHeight="1">
      <c r="A5" s="74">
        <v>-1</v>
      </c>
      <c r="B5" s="74">
        <v>-2</v>
      </c>
      <c r="C5" s="74">
        <v>-3</v>
      </c>
      <c r="D5" s="74"/>
      <c r="E5" s="74">
        <v>-4</v>
      </c>
      <c r="F5" s="74" t="s">
        <v>183</v>
      </c>
      <c r="G5" s="74">
        <v>-6</v>
      </c>
    </row>
    <row r="6" spans="1:7" ht="21" customHeight="1">
      <c r="A6" s="71" t="s">
        <v>184</v>
      </c>
      <c r="B6" s="75" t="s">
        <v>185</v>
      </c>
      <c r="C6" s="76"/>
      <c r="D6" s="76"/>
      <c r="E6" s="77"/>
      <c r="F6" s="77">
        <f>F7+F9</f>
        <v>17701131900</v>
      </c>
      <c r="G6" s="77"/>
    </row>
    <row r="7" spans="1:7" ht="21" customHeight="1">
      <c r="A7" s="71" t="s">
        <v>61</v>
      </c>
      <c r="B7" s="75" t="s">
        <v>186</v>
      </c>
      <c r="C7" s="78"/>
      <c r="D7" s="78"/>
      <c r="E7" s="77"/>
      <c r="F7" s="77">
        <f>SUM(F8:F8)</f>
        <v>17700000000</v>
      </c>
      <c r="G7" s="77"/>
    </row>
    <row r="8" spans="1:7" ht="18" customHeight="1">
      <c r="A8" s="79">
        <v>1</v>
      </c>
      <c r="B8" s="80" t="s">
        <v>187</v>
      </c>
      <c r="C8" s="81">
        <v>354000</v>
      </c>
      <c r="D8" s="81"/>
      <c r="E8" s="82">
        <f>5*10000</f>
        <v>50000</v>
      </c>
      <c r="F8" s="82">
        <f>C8*E8</f>
        <v>17700000000</v>
      </c>
      <c r="G8" s="82"/>
    </row>
    <row r="9" spans="1:7" ht="21" customHeight="1">
      <c r="A9" s="71" t="s">
        <v>63</v>
      </c>
      <c r="B9" s="75" t="s">
        <v>188</v>
      </c>
      <c r="C9" s="78"/>
      <c r="D9" s="78"/>
      <c r="E9" s="77"/>
      <c r="F9" s="77">
        <f>F11</f>
        <v>1131900</v>
      </c>
      <c r="G9" s="77"/>
    </row>
    <row r="10" spans="1:7" ht="21" customHeight="1">
      <c r="A10" s="79">
        <v>1</v>
      </c>
      <c r="B10" s="83" t="s">
        <v>189</v>
      </c>
      <c r="C10" s="84">
        <v>0</v>
      </c>
      <c r="D10" s="84"/>
      <c r="E10" s="82">
        <v>0</v>
      </c>
      <c r="F10" s="82">
        <v>0</v>
      </c>
      <c r="G10" s="82"/>
    </row>
    <row r="11" spans="1:7" ht="32.25" customHeight="1">
      <c r="A11" s="79">
        <v>2</v>
      </c>
      <c r="B11" s="83" t="s">
        <v>300</v>
      </c>
      <c r="C11" s="84">
        <v>161700</v>
      </c>
      <c r="D11" s="84"/>
      <c r="E11" s="82">
        <v>7</v>
      </c>
      <c r="F11" s="82">
        <f>C11*E11</f>
        <v>1131900</v>
      </c>
      <c r="G11" s="162"/>
    </row>
    <row r="12" spans="1:7" ht="21" customHeight="1">
      <c r="A12" s="71" t="s">
        <v>190</v>
      </c>
      <c r="B12" s="85" t="s">
        <v>191</v>
      </c>
      <c r="C12" s="76"/>
      <c r="D12" s="76"/>
      <c r="E12" s="77"/>
      <c r="F12" s="77">
        <f>SUM(F13:F16)</f>
        <v>20747449999.999996</v>
      </c>
      <c r="G12" s="77"/>
    </row>
    <row r="13" spans="1:7" ht="21" customHeight="1">
      <c r="A13" s="79">
        <v>1</v>
      </c>
      <c r="B13" s="86" t="s">
        <v>192</v>
      </c>
      <c r="C13" s="81">
        <v>26000</v>
      </c>
      <c r="D13" s="81">
        <v>1.5</v>
      </c>
      <c r="E13" s="81">
        <f>2.2*10000</f>
        <v>22000</v>
      </c>
      <c r="F13" s="84">
        <f>C13*E13*D13</f>
        <v>858000000</v>
      </c>
      <c r="G13" s="82"/>
    </row>
    <row r="14" spans="1:7" ht="15">
      <c r="A14" s="79">
        <v>2</v>
      </c>
      <c r="B14" s="80" t="s">
        <v>110</v>
      </c>
      <c r="C14" s="81">
        <v>14000</v>
      </c>
      <c r="D14" s="81">
        <v>1.5</v>
      </c>
      <c r="E14" s="81">
        <f>'08CH'!D10*10000</f>
        <v>756833.3333333331</v>
      </c>
      <c r="F14" s="84">
        <f>C14*E14*D14</f>
        <v>15893499999.999996</v>
      </c>
      <c r="G14" s="82"/>
    </row>
    <row r="15" spans="1:7" ht="15">
      <c r="A15" s="79">
        <v>3</v>
      </c>
      <c r="B15" s="86" t="s">
        <v>112</v>
      </c>
      <c r="C15" s="81">
        <v>13000</v>
      </c>
      <c r="D15" s="81">
        <v>1.5</v>
      </c>
      <c r="E15" s="81">
        <f>'08CH'!E11*10000</f>
        <v>68766.6666666667</v>
      </c>
      <c r="F15" s="84">
        <f>C15*E15*D15</f>
        <v>1340950000.0000007</v>
      </c>
      <c r="G15" s="82"/>
    </row>
    <row r="16" spans="1:7" ht="15">
      <c r="A16" s="79">
        <v>4</v>
      </c>
      <c r="B16" s="86" t="s">
        <v>52</v>
      </c>
      <c r="C16" s="81">
        <v>354000</v>
      </c>
      <c r="D16" s="81">
        <v>1.5</v>
      </c>
      <c r="E16" s="81">
        <f>0.5*10000</f>
        <v>5000</v>
      </c>
      <c r="F16" s="84">
        <f>C16*E16*D16</f>
        <v>2655000000</v>
      </c>
      <c r="G16" s="82"/>
    </row>
    <row r="17" spans="1:7" ht="15">
      <c r="A17" s="71" t="s">
        <v>193</v>
      </c>
      <c r="B17" s="87" t="s">
        <v>194</v>
      </c>
      <c r="C17" s="78"/>
      <c r="D17" s="78"/>
      <c r="E17" s="88"/>
      <c r="F17" s="89">
        <f>F6-F12</f>
        <v>-3046318099.999996</v>
      </c>
      <c r="G17" s="89"/>
    </row>
  </sheetData>
  <sheetProtection/>
  <mergeCells count="6">
    <mergeCell ref="G3:G4"/>
    <mergeCell ref="D3:D4"/>
    <mergeCell ref="A3:A4"/>
    <mergeCell ref="B3:B4"/>
    <mergeCell ref="C3:C4"/>
    <mergeCell ref="E3:F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VanLong</dc:creator>
  <cp:keywords/>
  <dc:description/>
  <cp:lastModifiedBy>Admin</cp:lastModifiedBy>
  <cp:lastPrinted>2019-07-05T12:07:59Z</cp:lastPrinted>
  <dcterms:created xsi:type="dcterms:W3CDTF">2017-12-27T02:34:00Z</dcterms:created>
  <dcterms:modified xsi:type="dcterms:W3CDTF">2019-07-30T09:08:51Z</dcterms:modified>
  <cp:category/>
  <cp:version/>
  <cp:contentType/>
  <cp:contentStatus/>
</cp:coreProperties>
</file>